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4050" activeTab="0"/>
  </bookViews>
  <sheets>
    <sheet name="2018 по 01.04.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<sst xmlns="http://schemas.openxmlformats.org/spreadsheetml/2006/main" count="70" uniqueCount="70">
  <si>
    <t>№ П/П</t>
  </si>
  <si>
    <t>Багринівська ЗОШ</t>
  </si>
  <si>
    <t>Йорданештська  ЗОШ 1</t>
  </si>
  <si>
    <t>Камянська  ЗОШ</t>
  </si>
  <si>
    <t>Корчівецька ЗОШ</t>
  </si>
  <si>
    <t>Коровійська ЗОШ</t>
  </si>
  <si>
    <t>Карапчівський  ліцей</t>
  </si>
  <si>
    <t>Купський  НВК</t>
  </si>
  <si>
    <t>Купський НВК №2</t>
  </si>
  <si>
    <t>Луковецька  ЗОШ</t>
  </si>
  <si>
    <t>Молодійська ЗОШ</t>
  </si>
  <si>
    <t>Опришенська  ЗОШ</t>
  </si>
  <si>
    <t>Ст.Вовчинецький  ліцей</t>
  </si>
  <si>
    <t>Стерчанська  ЗОШ</t>
  </si>
  <si>
    <t>Сучевенська  ЗОШ</t>
  </si>
  <si>
    <t>Тарашанська  ЗОШ</t>
  </si>
  <si>
    <t>Турятський  НВК</t>
  </si>
  <si>
    <t>Чагорська  ЗОШ</t>
  </si>
  <si>
    <t>Черепковецька  ЗОШ</t>
  </si>
  <si>
    <t>Йорданештська ЗОШ №2</t>
  </si>
  <si>
    <t>Привороцька  ЗОШ</t>
  </si>
  <si>
    <t>Просіцька  ЗОШ</t>
  </si>
  <si>
    <t>Кутбаїнська  ЗОШ</t>
  </si>
  <si>
    <t>Нововочинецький  НВК</t>
  </si>
  <si>
    <t>Петричанський  НВК</t>
  </si>
  <si>
    <t>Просокирянська  ЗОШ</t>
  </si>
  <si>
    <t>РАЗОМ:</t>
  </si>
  <si>
    <t>Камянський ДНЗ(ясла-сад)</t>
  </si>
  <si>
    <t>Молодійський  ДНЗ</t>
  </si>
  <si>
    <t>Луковецький  ДНЗ</t>
  </si>
  <si>
    <t>Полянський  ДНЗ</t>
  </si>
  <si>
    <t>Методичний  центр</t>
  </si>
  <si>
    <t>БТДЮ</t>
  </si>
  <si>
    <t>ДЮСШ</t>
  </si>
  <si>
    <t>Черепківський  ДНЗ</t>
  </si>
  <si>
    <t>Димківський  НВК</t>
  </si>
  <si>
    <t>Станівецький НВК</t>
  </si>
  <si>
    <t>Слобідський НВК</t>
  </si>
  <si>
    <t>Карапчівський ДНЗ</t>
  </si>
  <si>
    <t>Корчівецький ДНЗ</t>
  </si>
  <si>
    <t>Йорданештський ДНЗ</t>
  </si>
  <si>
    <t>Ремонт комп'ютерної техніки, заправка картриджів</t>
  </si>
  <si>
    <t>Камянський  ДНЗ №3</t>
  </si>
  <si>
    <t>Камянський  ДНЗ №1</t>
  </si>
  <si>
    <t>Підключення до мережі Інтернет</t>
  </si>
  <si>
    <t>Абонентська плата за Інтернет послуги</t>
  </si>
  <si>
    <t>Послуги по ремонту автобусів, автомобіля</t>
  </si>
  <si>
    <t>Плата за оренду приміщення</t>
  </si>
  <si>
    <t>Абонентська плата за телекомунікаційні послуги (телефони)</t>
  </si>
  <si>
    <t>Плата за вивіз сміття, нечистот</t>
  </si>
  <si>
    <t>Технічне обслуговування та повірка трьохфазних електронних лічильників</t>
  </si>
  <si>
    <t>Послуги із сервісного обслуговування газового обладнання</t>
  </si>
  <si>
    <t>Старововчинецький ДНЗ</t>
  </si>
  <si>
    <t>Стерченський ДНЗ</t>
  </si>
  <si>
    <t>Сучевенський ДНЗ</t>
  </si>
  <si>
    <t>Просіцький ДНЗ</t>
  </si>
  <si>
    <t>Статистична послуга</t>
  </si>
  <si>
    <t>Послуги по технічному обслуговуванню транспортних засобів</t>
  </si>
  <si>
    <t>Страхування автобусів та водіїв</t>
  </si>
  <si>
    <t>Централізована бухгалтерія та госп.група</t>
  </si>
  <si>
    <t>Капітальний ремонт даху</t>
  </si>
  <si>
    <t>Капітальний ремонт підвального приміщення (пристосування для тиру)</t>
  </si>
  <si>
    <t>Поточний ремонт спортивного залу</t>
  </si>
  <si>
    <t xml:space="preserve">                                                                                                                                                                                                          </t>
  </si>
  <si>
    <t>Плата за природний газ</t>
  </si>
  <si>
    <t>Плата за розподіл природного газу</t>
  </si>
  <si>
    <t>Всього  по установі :</t>
  </si>
  <si>
    <t xml:space="preserve">Послуги з інформатизації ПЗ "М.Е.Doc" </t>
  </si>
  <si>
    <t>Назва оплачених послуг за І квартал 2018 року</t>
  </si>
  <si>
    <t>Оплата (Відшкодування) за використану електроенергію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</si>
</sst>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/>
    </xf>
    <xf numFmtId="2" fontId="3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4" fillId="35" borderId="11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textRotation="90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8" borderId="11" xfId="0" applyFont="1" applyFill="1" applyBorder="1" applyAlignment="1">
      <alignment horizontal="center" vertical="center" textRotation="255" wrapText="1"/>
    </xf>
    <xf numFmtId="0" fontId="4" fillId="39" borderId="11" xfId="0" applyFont="1" applyFill="1" applyBorder="1" applyAlignment="1">
      <alignment horizontal="center" vertical="center" textRotation="255" wrapText="1"/>
    </xf>
    <xf numFmtId="2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34" borderId="0" xfId="0" applyNumberFormat="1" applyFill="1" applyBorder="1" applyAlignment="1">
      <alignment/>
    </xf>
    <xf numFmtId="2" fontId="3" fillId="34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2" fontId="7" fillId="0" borderId="17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2" fontId="9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70;&#1044;&#1046;&#1045;&#1058;&#1048;\&#1041;&#1102;&#1076;&#1078;&#1077;&#1090;%202018\&#1089;&#1074;&#1099;&#1090;&#1083;&#1086;%202018\2018&#1088;.-%20&#1060;&#1072;&#1082;&#1090;.%20%20&#1074;&#1080;&#1082;&#1086;&#1088;.%20&#1077;&#1083;&#1077;&#1082;&#1090;&#1088;.%20(&#1072;&#1082;&#1090;&#1080;&#1074;&#1085;&#10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гринівська   ЗОШ"/>
      <sheetName val="Димківський  НВК"/>
      <sheetName val="Йорданештська ЗОШ"/>
      <sheetName val="Камянська  ЗОШ"/>
      <sheetName val="Корчівецька  ЗОШ"/>
      <sheetName val="Коровійська  ЗОШ"/>
      <sheetName val="Карапчівський ліцей"/>
      <sheetName val="Купський  НВК"/>
      <sheetName val="Купський  НВК №2"/>
      <sheetName val="Луковецька  ЗОШ"/>
      <sheetName val="Молодійська  ЗОШ"/>
      <sheetName val="Опришенська  ЗОШ"/>
      <sheetName val="Старововчинецький  ліцей"/>
      <sheetName val="Стерченська  ЗОШ"/>
      <sheetName val="Станівецький НВК"/>
      <sheetName val="Сучевенська  ЗОШ"/>
      <sheetName val="Тарашанська  ЗОШ"/>
      <sheetName val="Турятський  НВК"/>
      <sheetName val="Чагорська  ЗОШ"/>
      <sheetName val="Черепковецька ЗОШ"/>
      <sheetName val="Йорданештська №2"/>
      <sheetName val="Привороцька ЗОШ"/>
      <sheetName val="Просіцька  ЗОШ"/>
      <sheetName val="Слобідський НВК"/>
      <sheetName val="Кутбаїнська ЗОШ"/>
      <sheetName val="Новийвовчинецький  НВК"/>
      <sheetName val="Петричанський  НВК"/>
      <sheetName val="Просикурянська  ЗОШ"/>
      <sheetName val="У.О. (котельня)"/>
      <sheetName val="БТДЮ"/>
      <sheetName val="Управління  освіти"/>
      <sheetName val="Йорданештський ДНЗ"/>
      <sheetName val="Камянський  ДНЗ"/>
      <sheetName val="Камянський  ДНЗ 3"/>
      <sheetName val="Камянський ДНЗ(ясла)"/>
      <sheetName val="Карапчівський  ДНЗ"/>
      <sheetName val="Корчівецький ДНЗ"/>
      <sheetName val="Луковицький  ДНЗ"/>
      <sheetName val="Молодійський  ДНЗ"/>
      <sheetName val="Полянський  ДНЗ"/>
      <sheetName val="Просіка ДНЗ"/>
      <sheetName val="Ст.вовчинець ДНЗ"/>
      <sheetName val="Стерче ДНЗ"/>
      <sheetName val="Сучевени ДНЗ"/>
      <sheetName val="Черепковецький  ДНЗ"/>
      <sheetName val="Зведена"/>
      <sheetName val="Зведена помісячно"/>
      <sheetName val="Лист1"/>
    </sheetNames>
    <sheetDataSet>
      <sheetData sheetId="46">
        <row r="8">
          <cell r="AN8">
            <v>52953.5192</v>
          </cell>
        </row>
        <row r="9">
          <cell r="AN9">
            <v>287357.46752299997</v>
          </cell>
        </row>
        <row r="10">
          <cell r="AN10">
            <v>11727.45</v>
          </cell>
        </row>
        <row r="11">
          <cell r="AN11">
            <v>111521.960938</v>
          </cell>
        </row>
        <row r="12">
          <cell r="AN12">
            <v>156782.45281</v>
          </cell>
        </row>
        <row r="13">
          <cell r="AN13">
            <v>31178.129999999997</v>
          </cell>
        </row>
        <row r="14">
          <cell r="AN14">
            <v>147113.18456800003</v>
          </cell>
        </row>
        <row r="15">
          <cell r="AN15">
            <v>108393.78919499999</v>
          </cell>
        </row>
        <row r="16">
          <cell r="AN16">
            <v>22220.92</v>
          </cell>
        </row>
        <row r="17">
          <cell r="AN17">
            <v>87296.740401</v>
          </cell>
        </row>
        <row r="18">
          <cell r="AN18">
            <v>24821.204614000002</v>
          </cell>
        </row>
        <row r="19">
          <cell r="AN19">
            <v>68174.81334200001</v>
          </cell>
        </row>
        <row r="20">
          <cell r="AN20">
            <v>137404.366381</v>
          </cell>
        </row>
        <row r="21">
          <cell r="AN21">
            <v>25061.39</v>
          </cell>
        </row>
        <row r="22">
          <cell r="AN22">
            <v>135421.105265</v>
          </cell>
        </row>
        <row r="23">
          <cell r="AN23">
            <v>13302.7208</v>
          </cell>
        </row>
        <row r="24">
          <cell r="AN24">
            <v>69862.609667</v>
          </cell>
        </row>
        <row r="25">
          <cell r="AN25">
            <v>130652.95828899999</v>
          </cell>
        </row>
        <row r="26">
          <cell r="AN26">
            <v>23525.300000000003</v>
          </cell>
        </row>
        <row r="27">
          <cell r="AN27">
            <v>105345.30720000001</v>
          </cell>
        </row>
        <row r="28">
          <cell r="AN28">
            <v>4846.915</v>
          </cell>
        </row>
        <row r="29">
          <cell r="AN29">
            <v>5350.295</v>
          </cell>
        </row>
        <row r="30">
          <cell r="AN30">
            <v>859.538</v>
          </cell>
        </row>
        <row r="31">
          <cell r="AN31">
            <v>20663.37</v>
          </cell>
        </row>
        <row r="32">
          <cell r="AN32">
            <v>1041.705</v>
          </cell>
        </row>
        <row r="33">
          <cell r="AN33">
            <v>17027.3058</v>
          </cell>
        </row>
        <row r="34">
          <cell r="AN34">
            <v>16901.2</v>
          </cell>
        </row>
        <row r="35">
          <cell r="AN35">
            <v>1165.79</v>
          </cell>
        </row>
        <row r="38">
          <cell r="AN38">
            <v>2707.161</v>
          </cell>
        </row>
        <row r="40">
          <cell r="AN40">
            <v>38263.44</v>
          </cell>
        </row>
        <row r="41">
          <cell r="AN41">
            <v>159136.23188</v>
          </cell>
        </row>
        <row r="42">
          <cell r="AN42">
            <v>21600.07</v>
          </cell>
        </row>
        <row r="43">
          <cell r="AN43">
            <v>6691.560799999999</v>
          </cell>
        </row>
        <row r="44">
          <cell r="AN44">
            <v>110682.68377</v>
          </cell>
        </row>
        <row r="45">
          <cell r="AN45">
            <v>10900.4063</v>
          </cell>
        </row>
        <row r="46">
          <cell r="AN46">
            <v>8957.585</v>
          </cell>
        </row>
        <row r="47">
          <cell r="AN47">
            <v>15987.159499999998</v>
          </cell>
        </row>
        <row r="48">
          <cell r="AN48">
            <v>22564.25</v>
          </cell>
        </row>
        <row r="49">
          <cell r="AN49">
            <v>10899.82</v>
          </cell>
        </row>
        <row r="50">
          <cell r="AN50">
            <v>7008.99</v>
          </cell>
        </row>
        <row r="51">
          <cell r="AN51">
            <v>9008.9777</v>
          </cell>
        </row>
        <row r="52">
          <cell r="AN52">
            <v>16796.9875</v>
          </cell>
        </row>
        <row r="53">
          <cell r="AN53">
            <v>15636.823199999999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50"/>
  <sheetViews>
    <sheetView tabSelected="1" zoomScalePageLayoutView="0" workbookViewId="0" topLeftCell="A1">
      <pane xSplit="2" ySplit="2" topLeftCell="AQ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Y23" sqref="AY23"/>
    </sheetView>
  </sheetViews>
  <sheetFormatPr defaultColWidth="9.140625" defaultRowHeight="15"/>
  <cols>
    <col min="1" max="1" width="3.421875" style="1" customWidth="1"/>
    <col min="2" max="2" width="40.140625" style="2" customWidth="1"/>
    <col min="3" max="3" width="11.28125" style="3" customWidth="1"/>
    <col min="4" max="4" width="10.7109375" style="3" customWidth="1"/>
    <col min="5" max="5" width="11.7109375" style="3" customWidth="1"/>
    <col min="6" max="6" width="11.140625" style="3" customWidth="1"/>
    <col min="7" max="7" width="11.8515625" style="3" customWidth="1"/>
    <col min="8" max="8" width="10.7109375" style="3" customWidth="1"/>
    <col min="9" max="9" width="11.7109375" style="3" customWidth="1"/>
    <col min="10" max="10" width="10.7109375" style="3" customWidth="1"/>
    <col min="11" max="11" width="9.57421875" style="3" customWidth="1"/>
    <col min="12" max="12" width="10.57421875" style="3" customWidth="1"/>
    <col min="13" max="13" width="10.7109375" style="3" customWidth="1"/>
    <col min="14" max="14" width="9.8515625" style="3" customWidth="1"/>
    <col min="15" max="15" width="11.421875" style="3" customWidth="1"/>
    <col min="16" max="16" width="10.7109375" style="3" customWidth="1"/>
    <col min="17" max="17" width="11.140625" style="3" customWidth="1"/>
    <col min="18" max="18" width="11.00390625" style="3" customWidth="1"/>
    <col min="19" max="19" width="11.28125" style="3" customWidth="1"/>
    <col min="20" max="20" width="12.140625" style="3" customWidth="1"/>
    <col min="21" max="22" width="11.00390625" style="3" customWidth="1"/>
    <col min="23" max="23" width="9.8515625" style="3" customWidth="1"/>
    <col min="24" max="24" width="10.28125" style="3" customWidth="1"/>
    <col min="25" max="25" width="9.57421875" style="3" customWidth="1"/>
    <col min="26" max="26" width="11.8515625" style="3" customWidth="1"/>
    <col min="27" max="27" width="10.00390625" style="3" customWidth="1"/>
    <col min="28" max="28" width="9.7109375" style="3" customWidth="1"/>
    <col min="29" max="29" width="9.28125" style="3" customWidth="1"/>
    <col min="30" max="30" width="9.421875" style="3" customWidth="1"/>
    <col min="31" max="31" width="11.8515625" style="3" customWidth="1"/>
    <col min="32" max="32" width="10.00390625" style="3" customWidth="1"/>
    <col min="33" max="33" width="10.57421875" style="3" customWidth="1"/>
    <col min="34" max="34" width="9.8515625" style="3" customWidth="1"/>
    <col min="35" max="35" width="10.7109375" style="3" customWidth="1"/>
    <col min="36" max="36" width="10.28125" style="3" customWidth="1"/>
    <col min="37" max="37" width="9.28125" style="3" customWidth="1"/>
    <col min="38" max="38" width="10.57421875" style="3" customWidth="1"/>
    <col min="39" max="44" width="9.28125" style="3" customWidth="1"/>
    <col min="45" max="45" width="9.8515625" style="3" customWidth="1"/>
    <col min="46" max="46" width="10.421875" style="3" customWidth="1"/>
    <col min="47" max="47" width="9.28125" style="3" customWidth="1"/>
    <col min="48" max="48" width="11.28125" style="3" customWidth="1"/>
    <col min="49" max="49" width="15.28125" style="5" customWidth="1"/>
    <col min="50" max="50" width="16.00390625" style="4" customWidth="1"/>
    <col min="51" max="51" width="10.57421875" style="0" bestFit="1" customWidth="1"/>
  </cols>
  <sheetData>
    <row r="1" spans="1:50" ht="162" customHeight="1">
      <c r="A1" s="68" t="s">
        <v>0</v>
      </c>
      <c r="B1" s="66" t="s">
        <v>68</v>
      </c>
      <c r="C1" s="7" t="s">
        <v>1</v>
      </c>
      <c r="D1" s="7" t="s">
        <v>35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36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  <c r="Y1" s="9" t="s">
        <v>21</v>
      </c>
      <c r="Z1" s="9" t="s">
        <v>37</v>
      </c>
      <c r="AA1" s="9" t="s">
        <v>22</v>
      </c>
      <c r="AB1" s="9" t="s">
        <v>23</v>
      </c>
      <c r="AC1" s="8" t="s">
        <v>24</v>
      </c>
      <c r="AD1" s="8" t="s">
        <v>25</v>
      </c>
      <c r="AE1" s="17" t="s">
        <v>43</v>
      </c>
      <c r="AF1" s="17" t="s">
        <v>27</v>
      </c>
      <c r="AG1" s="17" t="s">
        <v>42</v>
      </c>
      <c r="AH1" s="17" t="s">
        <v>28</v>
      </c>
      <c r="AI1" s="17" t="s">
        <v>29</v>
      </c>
      <c r="AJ1" s="17" t="s">
        <v>30</v>
      </c>
      <c r="AK1" s="17" t="s">
        <v>34</v>
      </c>
      <c r="AL1" s="17" t="s">
        <v>38</v>
      </c>
      <c r="AM1" s="17" t="s">
        <v>39</v>
      </c>
      <c r="AN1" s="17" t="s">
        <v>40</v>
      </c>
      <c r="AO1" s="17" t="s">
        <v>52</v>
      </c>
      <c r="AP1" s="17" t="s">
        <v>53</v>
      </c>
      <c r="AQ1" s="17" t="s">
        <v>54</v>
      </c>
      <c r="AR1" s="17" t="s">
        <v>55</v>
      </c>
      <c r="AS1" s="18" t="s">
        <v>59</v>
      </c>
      <c r="AT1" s="19" t="s">
        <v>31</v>
      </c>
      <c r="AU1" s="20" t="s">
        <v>32</v>
      </c>
      <c r="AV1" s="21" t="s">
        <v>33</v>
      </c>
      <c r="AW1" s="64" t="s">
        <v>26</v>
      </c>
      <c r="AX1" s="6"/>
    </row>
    <row r="2" spans="1:49" ht="15.75">
      <c r="A2" s="69"/>
      <c r="B2" s="67"/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>
        <v>10</v>
      </c>
      <c r="M2" s="25">
        <v>11</v>
      </c>
      <c r="N2" s="25">
        <v>12</v>
      </c>
      <c r="O2" s="25">
        <v>13</v>
      </c>
      <c r="P2" s="25">
        <v>14</v>
      </c>
      <c r="Q2" s="25">
        <v>15</v>
      </c>
      <c r="R2" s="25">
        <v>16</v>
      </c>
      <c r="S2" s="25">
        <v>17</v>
      </c>
      <c r="T2" s="25">
        <v>18</v>
      </c>
      <c r="U2" s="25">
        <v>19</v>
      </c>
      <c r="V2" s="25">
        <v>20</v>
      </c>
      <c r="W2" s="25">
        <v>21</v>
      </c>
      <c r="X2" s="25">
        <v>22</v>
      </c>
      <c r="Y2" s="25">
        <v>23</v>
      </c>
      <c r="Z2" s="25">
        <v>24</v>
      </c>
      <c r="AA2" s="25">
        <v>25</v>
      </c>
      <c r="AB2" s="25">
        <v>26</v>
      </c>
      <c r="AC2" s="25">
        <v>27</v>
      </c>
      <c r="AD2" s="25">
        <v>28</v>
      </c>
      <c r="AE2" s="26">
        <v>29</v>
      </c>
      <c r="AF2" s="26">
        <v>30</v>
      </c>
      <c r="AG2" s="26">
        <v>31</v>
      </c>
      <c r="AH2" s="26">
        <v>32</v>
      </c>
      <c r="AI2" s="26">
        <v>33</v>
      </c>
      <c r="AJ2" s="26">
        <v>34</v>
      </c>
      <c r="AK2" s="26">
        <v>35</v>
      </c>
      <c r="AL2" s="26">
        <v>36</v>
      </c>
      <c r="AM2" s="26">
        <v>37</v>
      </c>
      <c r="AN2" s="26">
        <v>38</v>
      </c>
      <c r="AO2" s="26">
        <v>39</v>
      </c>
      <c r="AP2" s="26">
        <v>40</v>
      </c>
      <c r="AQ2" s="26">
        <v>41</v>
      </c>
      <c r="AR2" s="26">
        <v>42</v>
      </c>
      <c r="AS2" s="26">
        <v>43</v>
      </c>
      <c r="AT2" s="26">
        <v>44</v>
      </c>
      <c r="AU2" s="26">
        <v>45</v>
      </c>
      <c r="AV2" s="26">
        <v>46</v>
      </c>
      <c r="AW2" s="65"/>
    </row>
    <row r="3" spans="1:57" ht="15.75">
      <c r="A3" s="24"/>
      <c r="B3" s="24" t="s">
        <v>58</v>
      </c>
      <c r="C3" s="29"/>
      <c r="D3" s="29"/>
      <c r="E3" s="29"/>
      <c r="F3" s="29">
        <f>680.4+183.6+183.6+680.4</f>
        <v>1728</v>
      </c>
      <c r="G3" s="29">
        <f>183.6+680.4</f>
        <v>864</v>
      </c>
      <c r="H3" s="29"/>
      <c r="I3" s="29">
        <f>680.4+183.6</f>
        <v>864</v>
      </c>
      <c r="J3" s="29">
        <f>183.6+680.4</f>
        <v>864</v>
      </c>
      <c r="K3" s="29"/>
      <c r="L3" s="29">
        <f>183.6+680.4</f>
        <v>864</v>
      </c>
      <c r="M3" s="29"/>
      <c r="N3" s="29"/>
      <c r="O3" s="29">
        <f>183.6+680.4</f>
        <v>864</v>
      </c>
      <c r="P3" s="29"/>
      <c r="Q3" s="29"/>
      <c r="R3" s="29"/>
      <c r="S3" s="29">
        <f>680.4+183.6</f>
        <v>864</v>
      </c>
      <c r="T3" s="29">
        <f>183.6+680.4</f>
        <v>864</v>
      </c>
      <c r="U3" s="29"/>
      <c r="V3" s="29">
        <f>183.6+680.4</f>
        <v>864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>
        <f>362.88+367.2</f>
        <v>730.0799999999999</v>
      </c>
      <c r="AT3" s="29"/>
      <c r="AU3" s="29"/>
      <c r="AV3" s="30"/>
      <c r="AW3" s="31">
        <f>SUM(C3:AV3)</f>
        <v>9370.08</v>
      </c>
      <c r="AX3" s="10"/>
      <c r="AY3" s="36"/>
      <c r="AZ3" s="27"/>
      <c r="BA3" s="27"/>
      <c r="BB3" s="27"/>
      <c r="BC3" s="27"/>
      <c r="BD3" s="27"/>
      <c r="BE3" s="28"/>
    </row>
    <row r="4" spans="1:57" ht="30">
      <c r="A4" s="24"/>
      <c r="B4" s="24" t="s">
        <v>57</v>
      </c>
      <c r="C4" s="29"/>
      <c r="D4" s="29"/>
      <c r="E4" s="29"/>
      <c r="F4" s="29">
        <f>350+350</f>
        <v>700</v>
      </c>
      <c r="G4" s="29">
        <f>350</f>
        <v>350</v>
      </c>
      <c r="H4" s="29"/>
      <c r="I4" s="29">
        <f>350</f>
        <v>350</v>
      </c>
      <c r="J4" s="29">
        <f>350</f>
        <v>350</v>
      </c>
      <c r="K4" s="29"/>
      <c r="L4" s="29">
        <f>350</f>
        <v>350</v>
      </c>
      <c r="M4" s="29"/>
      <c r="N4" s="29"/>
      <c r="O4" s="29">
        <f>350</f>
        <v>350</v>
      </c>
      <c r="P4" s="29"/>
      <c r="Q4" s="29"/>
      <c r="R4" s="29"/>
      <c r="S4" s="29">
        <f>350</f>
        <v>350</v>
      </c>
      <c r="T4" s="29">
        <f>350</f>
        <v>350</v>
      </c>
      <c r="U4" s="29"/>
      <c r="V4" s="29">
        <f>350</f>
        <v>350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0"/>
      <c r="AW4" s="31">
        <f>SUM(C4:AV4)</f>
        <v>3500</v>
      </c>
      <c r="AX4" s="10"/>
      <c r="AY4" s="27"/>
      <c r="AZ4" s="27"/>
      <c r="BA4" s="27"/>
      <c r="BB4" s="27"/>
      <c r="BC4" s="27"/>
      <c r="BD4" s="27"/>
      <c r="BE4" s="28"/>
    </row>
    <row r="5" spans="1:58" ht="30">
      <c r="A5" s="24"/>
      <c r="B5" s="24" t="s">
        <v>41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>
        <f>2100</f>
        <v>2100</v>
      </c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>
        <f>1450</f>
        <v>1450</v>
      </c>
      <c r="AQ5" s="29"/>
      <c r="AR5" s="29"/>
      <c r="AS5" s="29"/>
      <c r="AT5" s="29">
        <f>1810</f>
        <v>1810</v>
      </c>
      <c r="AU5" s="29">
        <f>256+195</f>
        <v>451</v>
      </c>
      <c r="AV5" s="30"/>
      <c r="AW5" s="31">
        <f aca="true" t="shared" si="0" ref="AW5:AW17">SUM(C5:AV5)</f>
        <v>5811</v>
      </c>
      <c r="AX5" s="32"/>
      <c r="AY5" s="34"/>
      <c r="AZ5" s="34"/>
      <c r="BA5" s="34"/>
      <c r="BB5" s="34"/>
      <c r="BC5" s="34"/>
      <c r="BD5" s="34"/>
      <c r="BE5" s="34"/>
      <c r="BF5" s="35"/>
    </row>
    <row r="6" spans="1:57" ht="18" customHeight="1">
      <c r="A6" s="24"/>
      <c r="B6" s="24" t="s">
        <v>45</v>
      </c>
      <c r="C6" s="29">
        <f>200+200+200+250</f>
        <v>850</v>
      </c>
      <c r="D6" s="29">
        <f>200+200+200+200</f>
        <v>800</v>
      </c>
      <c r="E6" s="29">
        <f>201.97+187.07</f>
        <v>389.03999999999996</v>
      </c>
      <c r="F6" s="29">
        <f>150+164.3+150+150+148.4</f>
        <v>762.6999999999999</v>
      </c>
      <c r="G6" s="29"/>
      <c r="H6" s="29"/>
      <c r="I6" s="29">
        <f>200+200+200+250</f>
        <v>850</v>
      </c>
      <c r="J6" s="29">
        <f>200+200+200+250</f>
        <v>850</v>
      </c>
      <c r="K6" s="29">
        <f>200+200+200+140</f>
        <v>740</v>
      </c>
      <c r="L6" s="29"/>
      <c r="M6" s="29">
        <f>153.98+139.07</f>
        <v>293.04999999999995</v>
      </c>
      <c r="N6" s="29">
        <f>200+200+200+250</f>
        <v>850</v>
      </c>
      <c r="O6" s="29">
        <f>45+150+250+150</f>
        <v>595</v>
      </c>
      <c r="P6" s="29">
        <f>200+200+200+250</f>
        <v>850</v>
      </c>
      <c r="Q6" s="29"/>
      <c r="R6" s="29">
        <f>200+200+200+250</f>
        <v>850</v>
      </c>
      <c r="S6" s="29">
        <f>150+150+150</f>
        <v>450</v>
      </c>
      <c r="T6" s="29">
        <f>350+350+350+350</f>
        <v>1400</v>
      </c>
      <c r="U6" s="29">
        <f>206.68+186.67</f>
        <v>393.35</v>
      </c>
      <c r="V6" s="29">
        <f>150+150+150</f>
        <v>450</v>
      </c>
      <c r="W6" s="29">
        <f>164.3+148.4</f>
        <v>312.70000000000005</v>
      </c>
      <c r="X6" s="29">
        <f>200+200+200+250</f>
        <v>850</v>
      </c>
      <c r="Y6" s="29">
        <f>200+200+200+140</f>
        <v>740</v>
      </c>
      <c r="Z6" s="29">
        <f>200+200+200</f>
        <v>600</v>
      </c>
      <c r="AA6" s="29"/>
      <c r="AB6" s="29">
        <f>200+200+200</f>
        <v>600</v>
      </c>
      <c r="AC6" s="29">
        <f>200+200+200+250</f>
        <v>850</v>
      </c>
      <c r="AD6" s="29"/>
      <c r="AE6" s="29">
        <f>200+200+200+250</f>
        <v>850</v>
      </c>
      <c r="AF6" s="29"/>
      <c r="AG6" s="29">
        <f>150+150+150</f>
        <v>450</v>
      </c>
      <c r="AH6" s="29"/>
      <c r="AI6" s="29"/>
      <c r="AJ6" s="29">
        <f>350+350+350+140</f>
        <v>1190</v>
      </c>
      <c r="AK6" s="29"/>
      <c r="AL6" s="29">
        <f>200+200+200+99</f>
        <v>699</v>
      </c>
      <c r="AM6" s="29">
        <f>200+200+200</f>
        <v>600</v>
      </c>
      <c r="AN6" s="29">
        <f>153.97+139.07</f>
        <v>293.03999999999996</v>
      </c>
      <c r="AO6" s="29"/>
      <c r="AP6" s="29">
        <f>100+100+100</f>
        <v>300</v>
      </c>
      <c r="AQ6" s="29">
        <f>150</f>
        <v>150</v>
      </c>
      <c r="AR6" s="29">
        <f>150</f>
        <v>150</v>
      </c>
      <c r="AS6" s="29">
        <f>100+100+100+100</f>
        <v>400</v>
      </c>
      <c r="AT6" s="29">
        <f>100+100+100+100</f>
        <v>400</v>
      </c>
      <c r="AU6" s="29">
        <f>200+200+200+200</f>
        <v>800</v>
      </c>
      <c r="AV6" s="30">
        <f>200+200+200+150</f>
        <v>750</v>
      </c>
      <c r="AW6" s="31">
        <f t="shared" si="0"/>
        <v>22357.880000000005</v>
      </c>
      <c r="AX6" s="32"/>
      <c r="AY6" s="33"/>
      <c r="AZ6" s="34"/>
      <c r="BA6" s="34"/>
      <c r="BB6" s="34"/>
      <c r="BC6" s="34"/>
      <c r="BD6" s="34"/>
      <c r="BE6" s="34"/>
    </row>
    <row r="7" spans="1:57" ht="15.75">
      <c r="A7" s="24"/>
      <c r="B7" s="24" t="s">
        <v>44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>
        <f>1780</f>
        <v>1780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30"/>
      <c r="AW7" s="31">
        <f t="shared" si="0"/>
        <v>1780</v>
      </c>
      <c r="AX7" s="32"/>
      <c r="AY7" s="34"/>
      <c r="AZ7" s="34"/>
      <c r="BA7" s="34"/>
      <c r="BB7" s="34"/>
      <c r="BC7" s="34"/>
      <c r="BD7" s="34"/>
      <c r="BE7" s="34"/>
    </row>
    <row r="8" spans="1:64" ht="30">
      <c r="A8" s="24"/>
      <c r="B8" s="24" t="s">
        <v>48</v>
      </c>
      <c r="C8" s="29">
        <f>63.83+63.83</f>
        <v>127.66</v>
      </c>
      <c r="D8" s="29">
        <f>63.83+63.83</f>
        <v>127.66</v>
      </c>
      <c r="E8" s="29">
        <f>63.83+63.83</f>
        <v>127.66</v>
      </c>
      <c r="F8" s="29">
        <f>127.66+127.66</f>
        <v>255.32</v>
      </c>
      <c r="G8" s="29">
        <f>63.83+63.83</f>
        <v>127.66</v>
      </c>
      <c r="H8" s="29">
        <f>141.22+141.22</f>
        <v>282.44</v>
      </c>
      <c r="I8" s="29">
        <f>134.82+66+134.82+66</f>
        <v>401.64</v>
      </c>
      <c r="J8" s="29">
        <f>127.65+127.65</f>
        <v>255.3</v>
      </c>
      <c r="K8" s="29">
        <f>66.47+66.47</f>
        <v>132.94</v>
      </c>
      <c r="L8" s="29">
        <f>77.38+77.38</f>
        <v>154.76</v>
      </c>
      <c r="M8" s="29">
        <f>131.87+130.3</f>
        <v>262.17</v>
      </c>
      <c r="N8" s="29">
        <f>63.83+63.83</f>
        <v>127.66</v>
      </c>
      <c r="O8" s="29">
        <f>191.48+191.48</f>
        <v>382.96</v>
      </c>
      <c r="P8" s="29">
        <f>2.64+6.23+2.64</f>
        <v>11.510000000000002</v>
      </c>
      <c r="Q8" s="29">
        <f>63.83+63.83</f>
        <v>127.66</v>
      </c>
      <c r="R8" s="29">
        <f>63.83+63.83</f>
        <v>127.66</v>
      </c>
      <c r="S8" s="29">
        <f>63.83+63.83</f>
        <v>127.66</v>
      </c>
      <c r="T8" s="29">
        <f>127.65+127.65</f>
        <v>255.3</v>
      </c>
      <c r="U8" s="29">
        <f>127.65+127.65</f>
        <v>255.3</v>
      </c>
      <c r="V8" s="29">
        <f>127.65+127.65</f>
        <v>255.3</v>
      </c>
      <c r="W8" s="29">
        <f>63.83+63.83</f>
        <v>127.66</v>
      </c>
      <c r="X8" s="29">
        <f>51.06+51.06</f>
        <v>102.12</v>
      </c>
      <c r="Y8" s="29">
        <f>63.83+63.83</f>
        <v>127.66</v>
      </c>
      <c r="Z8" s="29">
        <f>63.83+63.83</f>
        <v>127.66</v>
      </c>
      <c r="AA8" s="29">
        <f>63.83+63.83</f>
        <v>127.66</v>
      </c>
      <c r="AB8" s="29">
        <f>63.83+63.83</f>
        <v>127.66</v>
      </c>
      <c r="AC8" s="29">
        <f>63.83+63.83</f>
        <v>127.66</v>
      </c>
      <c r="AD8" s="29"/>
      <c r="AE8" s="29">
        <f>63.83-3.4+63.83</f>
        <v>124.25999999999999</v>
      </c>
      <c r="AF8" s="29"/>
      <c r="AG8" s="29"/>
      <c r="AH8" s="29">
        <f>63.83+63.83</f>
        <v>127.66</v>
      </c>
      <c r="AI8" s="29">
        <f>63.83+63.83</f>
        <v>127.66</v>
      </c>
      <c r="AJ8" s="29"/>
      <c r="AK8" s="29"/>
      <c r="AL8" s="29">
        <f>63.83+63.83</f>
        <v>127.66</v>
      </c>
      <c r="AM8" s="29">
        <f>51.06+51.06</f>
        <v>102.12</v>
      </c>
      <c r="AN8" s="29">
        <f>63.83+63.83</f>
        <v>127.66</v>
      </c>
      <c r="AO8" s="29">
        <f>183.82+63.82</f>
        <v>247.64</v>
      </c>
      <c r="AP8" s="29"/>
      <c r="AQ8" s="29"/>
      <c r="AR8" s="29"/>
      <c r="AS8" s="29">
        <f>313.67+17.13+310.02</f>
        <v>640.8199999999999</v>
      </c>
      <c r="AT8" s="29">
        <f>425.41-132.15+295.91</f>
        <v>589.1700000000001</v>
      </c>
      <c r="AU8" s="29">
        <f>70.99+65.65+70.99</f>
        <v>207.63</v>
      </c>
      <c r="AV8" s="30"/>
      <c r="AW8" s="31">
        <f t="shared" si="0"/>
        <v>7216.579999999999</v>
      </c>
      <c r="AX8" s="32"/>
      <c r="AY8" s="33"/>
      <c r="AZ8" s="34"/>
      <c r="BA8" s="34"/>
      <c r="BB8" s="34"/>
      <c r="BC8" s="34"/>
      <c r="BD8" s="34"/>
      <c r="BE8" s="34"/>
      <c r="BF8" s="35"/>
      <c r="BG8" s="35"/>
      <c r="BH8" s="35"/>
      <c r="BI8" s="35"/>
      <c r="BJ8" s="35"/>
      <c r="BK8" s="35"/>
      <c r="BL8" s="35"/>
    </row>
    <row r="9" spans="1:57" ht="15.75">
      <c r="A9" s="24"/>
      <c r="B9" s="24" t="s">
        <v>67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>
        <f>2340</f>
        <v>2340</v>
      </c>
      <c r="AT9" s="29"/>
      <c r="AU9" s="29"/>
      <c r="AV9" s="30"/>
      <c r="AW9" s="31">
        <f t="shared" si="0"/>
        <v>2340</v>
      </c>
      <c r="AX9" s="10"/>
      <c r="AY9" s="27"/>
      <c r="AZ9" s="27"/>
      <c r="BA9" s="27"/>
      <c r="BB9" s="27"/>
      <c r="BC9" s="27"/>
      <c r="BD9" s="27"/>
      <c r="BE9" s="28"/>
    </row>
    <row r="10" spans="1:57" ht="15.75">
      <c r="A10" s="24"/>
      <c r="B10" s="24" t="s">
        <v>56</v>
      </c>
      <c r="C10" s="29"/>
      <c r="D10" s="29"/>
      <c r="E10" s="29"/>
      <c r="F10" s="29">
        <f>52.08</f>
        <v>52.08</v>
      </c>
      <c r="G10" s="29"/>
      <c r="H10" s="29">
        <f>63.15</f>
        <v>63.15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30"/>
      <c r="AW10" s="31">
        <f t="shared" si="0"/>
        <v>115.22999999999999</v>
      </c>
      <c r="AX10" s="10"/>
      <c r="AY10" s="27"/>
      <c r="AZ10" s="27"/>
      <c r="BA10" s="27"/>
      <c r="BB10" s="27"/>
      <c r="BC10" s="27"/>
      <c r="BD10" s="27"/>
      <c r="BE10" s="28"/>
    </row>
    <row r="11" spans="1:57" ht="15.75">
      <c r="A11" s="24"/>
      <c r="B11" s="24" t="s">
        <v>46</v>
      </c>
      <c r="C11" s="29"/>
      <c r="D11" s="29"/>
      <c r="E11" s="29"/>
      <c r="F11" s="29"/>
      <c r="G11" s="29">
        <f>5600</f>
        <v>5600</v>
      </c>
      <c r="H11" s="29"/>
      <c r="I11" s="29"/>
      <c r="J11" s="29"/>
      <c r="K11" s="29"/>
      <c r="L11" s="29">
        <f>5620</f>
        <v>5620</v>
      </c>
      <c r="M11" s="29"/>
      <c r="N11" s="29"/>
      <c r="O11" s="29"/>
      <c r="P11" s="29"/>
      <c r="Q11" s="29"/>
      <c r="R11" s="29"/>
      <c r="S11" s="29">
        <f>2100</f>
        <v>2100</v>
      </c>
      <c r="T11" s="29">
        <f>2100</f>
        <v>2100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>
        <f>5440</f>
        <v>5440</v>
      </c>
      <c r="AT11" s="29"/>
      <c r="AU11" s="29"/>
      <c r="AV11" s="30"/>
      <c r="AW11" s="31">
        <f t="shared" si="0"/>
        <v>20860</v>
      </c>
      <c r="AX11" s="10"/>
      <c r="AY11" s="27"/>
      <c r="AZ11" s="27"/>
      <c r="BA11" s="27"/>
      <c r="BB11" s="27"/>
      <c r="BC11" s="27"/>
      <c r="BD11" s="27"/>
      <c r="BE11" s="28"/>
    </row>
    <row r="12" spans="1:57" ht="15.75">
      <c r="A12" s="24"/>
      <c r="B12" s="24" t="s">
        <v>49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f>2279.2</f>
        <v>2279.2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>
        <f>505.04</f>
        <v>505.04</v>
      </c>
      <c r="AD12" s="29"/>
      <c r="AE12" s="29">
        <f>2440.62+1375.27</f>
        <v>3815.89</v>
      </c>
      <c r="AF12" s="29"/>
      <c r="AG12" s="29"/>
      <c r="AH12" s="29"/>
      <c r="AI12" s="29"/>
      <c r="AJ12" s="29"/>
      <c r="AK12" s="29"/>
      <c r="AL12" s="29">
        <f>1375.27</f>
        <v>1375.27</v>
      </c>
      <c r="AM12" s="29"/>
      <c r="AN12" s="29"/>
      <c r="AO12" s="29"/>
      <c r="AP12" s="29"/>
      <c r="AQ12" s="29"/>
      <c r="AR12" s="29"/>
      <c r="AS12" s="29">
        <f>208.04</f>
        <v>208.04</v>
      </c>
      <c r="AT12" s="29"/>
      <c r="AU12" s="29">
        <f>322.85+256.32</f>
        <v>579.1700000000001</v>
      </c>
      <c r="AV12" s="30"/>
      <c r="AW12" s="31">
        <f t="shared" si="0"/>
        <v>8762.61</v>
      </c>
      <c r="AX12" s="10"/>
      <c r="AY12" s="27"/>
      <c r="AZ12" s="27"/>
      <c r="BA12" s="27"/>
      <c r="BB12" s="27"/>
      <c r="BC12" s="27"/>
      <c r="BD12" s="27"/>
      <c r="BE12" s="28"/>
    </row>
    <row r="13" spans="1:57" ht="30">
      <c r="A13" s="24"/>
      <c r="B13" s="24" t="s">
        <v>50</v>
      </c>
      <c r="C13" s="29"/>
      <c r="D13" s="29"/>
      <c r="E13" s="29"/>
      <c r="F13" s="29"/>
      <c r="G13" s="29"/>
      <c r="H13" s="29"/>
      <c r="I13" s="29"/>
      <c r="J13" s="29">
        <f>651.26</f>
        <v>651.26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30"/>
      <c r="AW13" s="31">
        <f t="shared" si="0"/>
        <v>651.26</v>
      </c>
      <c r="AX13" s="10"/>
      <c r="AY13" s="27"/>
      <c r="AZ13" s="27"/>
      <c r="BA13" s="27"/>
      <c r="BB13" s="27"/>
      <c r="BC13" s="27"/>
      <c r="BD13" s="27"/>
      <c r="BE13" s="28"/>
    </row>
    <row r="14" spans="1:57" ht="30">
      <c r="A14" s="24"/>
      <c r="B14" s="24" t="s">
        <v>51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>
        <f>540</f>
        <v>540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>
        <f>540</f>
        <v>540</v>
      </c>
      <c r="AT14" s="29"/>
      <c r="AU14" s="29">
        <f>360</f>
        <v>360</v>
      </c>
      <c r="AV14" s="30"/>
      <c r="AW14" s="31">
        <f t="shared" si="0"/>
        <v>1440</v>
      </c>
      <c r="AX14" s="10"/>
      <c r="AY14" s="27"/>
      <c r="AZ14" s="27"/>
      <c r="BA14" s="27"/>
      <c r="BB14" s="27"/>
      <c r="BC14" s="27"/>
      <c r="BD14" s="27"/>
      <c r="BE14" s="28"/>
    </row>
    <row r="15" spans="1:57" ht="15.75">
      <c r="A15" s="24"/>
      <c r="B15" s="24" t="s">
        <v>64</v>
      </c>
      <c r="C15" s="29"/>
      <c r="D15" s="29"/>
      <c r="E15" s="29"/>
      <c r="F15" s="29"/>
      <c r="G15" s="29"/>
      <c r="H15" s="29">
        <f>72820.67+62574.83+15000+6645.49</f>
        <v>157040.99</v>
      </c>
      <c r="I15" s="29"/>
      <c r="J15" s="29"/>
      <c r="K15" s="29"/>
      <c r="L15" s="29">
        <f>3445.04+7315.75+5093.94</f>
        <v>15854.73</v>
      </c>
      <c r="M15" s="29">
        <f>8976.98+24214.67+39341.93+33772.41+19301.58+7862.02+8847.91</f>
        <v>142317.5</v>
      </c>
      <c r="N15" s="29"/>
      <c r="O15" s="29"/>
      <c r="P15" s="29"/>
      <c r="Q15" s="29"/>
      <c r="R15" s="29"/>
      <c r="S15" s="29"/>
      <c r="T15" s="29"/>
      <c r="U15" s="29">
        <f>21266.51+5277.98+23232.59+4627.24+6372.54+7000</f>
        <v>67776.86</v>
      </c>
      <c r="V15" s="29"/>
      <c r="W15" s="29"/>
      <c r="X15" s="29"/>
      <c r="Y15" s="29"/>
      <c r="Z15" s="29"/>
      <c r="AA15" s="29">
        <f>5863.2+6769.48+2000</f>
        <v>14632.68</v>
      </c>
      <c r="AB15" s="29"/>
      <c r="AC15" s="29">
        <f>14773.93+22492.14+5880.45+28609.61+12898.52</f>
        <v>84654.65000000001</v>
      </c>
      <c r="AD15" s="29"/>
      <c r="AE15" s="29"/>
      <c r="AF15" s="29"/>
      <c r="AG15" s="29"/>
      <c r="AH15" s="29">
        <f>30133.07+2201.61+29552.2</f>
        <v>61886.880000000005</v>
      </c>
      <c r="AI15" s="29">
        <f>15491.65+1000+13260.47</f>
        <v>29752.120000000003</v>
      </c>
      <c r="AJ15" s="29"/>
      <c r="AK15" s="29"/>
      <c r="AL15" s="29"/>
      <c r="AM15" s="29"/>
      <c r="AN15" s="29"/>
      <c r="AO15" s="29"/>
      <c r="AP15" s="29"/>
      <c r="AQ15" s="29"/>
      <c r="AR15" s="29"/>
      <c r="AS15" s="29">
        <f>7409.05+1605.92+7265.49</f>
        <v>16280.460000000001</v>
      </c>
      <c r="AT15" s="29">
        <f>17697.78+17266.45</f>
        <v>34964.229999999996</v>
      </c>
      <c r="AU15" s="29">
        <f>6934.25+6565.97+4826.24</f>
        <v>18326.46</v>
      </c>
      <c r="AV15" s="30"/>
      <c r="AW15" s="31">
        <f t="shared" si="0"/>
        <v>643487.5599999999</v>
      </c>
      <c r="AX15" s="10"/>
      <c r="AY15" s="27"/>
      <c r="AZ15" s="27"/>
      <c r="BA15" s="27"/>
      <c r="BB15" s="27"/>
      <c r="BC15" s="27"/>
      <c r="BD15" s="27"/>
      <c r="BE15" s="28"/>
    </row>
    <row r="16" spans="1:57" ht="15.75">
      <c r="A16" s="24"/>
      <c r="B16" s="24" t="s">
        <v>65</v>
      </c>
      <c r="C16" s="29"/>
      <c r="D16" s="29"/>
      <c r="E16" s="29"/>
      <c r="F16" s="29"/>
      <c r="G16" s="29"/>
      <c r="H16" s="29">
        <f>2000+5727.36+5073.43</f>
        <v>12800.79</v>
      </c>
      <c r="I16" s="29"/>
      <c r="J16" s="29"/>
      <c r="K16" s="29"/>
      <c r="L16" s="29">
        <f>270.95+593.14</f>
        <v>864.0899999999999</v>
      </c>
      <c r="M16" s="29">
        <f>1500+706.04+1904.49+3094.25+2738.19+1564.93+637.43</f>
        <v>12145.33</v>
      </c>
      <c r="N16" s="29"/>
      <c r="O16" s="29"/>
      <c r="P16" s="29"/>
      <c r="Q16" s="29"/>
      <c r="R16" s="29"/>
      <c r="S16" s="29"/>
      <c r="T16" s="29"/>
      <c r="U16" s="29">
        <f>1000+1672.63+415.12+1883.65+375.17</f>
        <v>5346.57</v>
      </c>
      <c r="V16" s="29"/>
      <c r="W16" s="29"/>
      <c r="X16" s="29"/>
      <c r="Y16" s="29"/>
      <c r="Z16" s="29"/>
      <c r="AA16" s="29">
        <f>461.14+548.85</f>
        <v>1009.99</v>
      </c>
      <c r="AB16" s="29"/>
      <c r="AC16" s="29">
        <f>921.67+1161.97+1769.01+476.77+2319.6</f>
        <v>6649.02</v>
      </c>
      <c r="AD16" s="29"/>
      <c r="AE16" s="29"/>
      <c r="AF16" s="29"/>
      <c r="AG16" s="29"/>
      <c r="AH16" s="29">
        <f>271.81+2369.97+2396.03</f>
        <v>5037.8099999999995</v>
      </c>
      <c r="AI16" s="29">
        <f>1218.42+1075.13</f>
        <v>2293.55</v>
      </c>
      <c r="AJ16" s="29"/>
      <c r="AK16" s="29"/>
      <c r="AL16" s="29"/>
      <c r="AM16" s="29"/>
      <c r="AN16" s="29"/>
      <c r="AO16" s="29"/>
      <c r="AP16" s="29"/>
      <c r="AQ16" s="29"/>
      <c r="AR16" s="29"/>
      <c r="AS16" s="29">
        <f>136.65+582.72+540.35+76.68</f>
        <v>1336.4</v>
      </c>
      <c r="AT16" s="29">
        <f>1389.5+1399.93</f>
        <v>2789.4300000000003</v>
      </c>
      <c r="AU16" s="29">
        <f>426.41+779.43+254.44</f>
        <v>1460.28</v>
      </c>
      <c r="AV16" s="30"/>
      <c r="AW16" s="31">
        <f t="shared" si="0"/>
        <v>51733.26</v>
      </c>
      <c r="AX16" s="10"/>
      <c r="AY16" s="27"/>
      <c r="AZ16" s="27"/>
      <c r="BA16" s="27"/>
      <c r="BB16" s="27"/>
      <c r="BC16" s="27"/>
      <c r="BD16" s="27"/>
      <c r="BE16" s="28"/>
    </row>
    <row r="17" spans="1:57" ht="30">
      <c r="A17" s="24"/>
      <c r="B17" s="24" t="s">
        <v>69</v>
      </c>
      <c r="C17" s="29">
        <f>'[1]Зведена помісячно'!$AN$8</f>
        <v>52953.5192</v>
      </c>
      <c r="D17" s="29">
        <f>'[1]Зведена помісячно'!$AN$9</f>
        <v>287357.46752299997</v>
      </c>
      <c r="E17" s="29">
        <f>'[1]Зведена помісячно'!$AN$10</f>
        <v>11727.45</v>
      </c>
      <c r="F17" s="29">
        <f>'[1]Зведена помісячно'!$AN$11</f>
        <v>111521.960938</v>
      </c>
      <c r="G17" s="29">
        <f>'[1]Зведена помісячно'!$AN$12</f>
        <v>156782.45281</v>
      </c>
      <c r="H17" s="29">
        <f>'[1]Зведена помісячно'!$AN$13</f>
        <v>31178.129999999997</v>
      </c>
      <c r="I17" s="29">
        <f>'[1]Зведена помісячно'!$AN$14</f>
        <v>147113.18456800003</v>
      </c>
      <c r="J17" s="29">
        <f>'[1]Зведена помісячно'!$AN$15</f>
        <v>108393.78919499999</v>
      </c>
      <c r="K17" s="29">
        <f>'[1]Зведена помісячно'!$AN$16</f>
        <v>22220.92</v>
      </c>
      <c r="L17" s="29">
        <f>'[1]Зведена помісячно'!$AN$17</f>
        <v>87296.740401</v>
      </c>
      <c r="M17" s="29">
        <f>'[1]Зведена помісячно'!$AN$18</f>
        <v>24821.204614000002</v>
      </c>
      <c r="N17" s="29">
        <f>'[1]Зведена помісячно'!$AN$19</f>
        <v>68174.81334200001</v>
      </c>
      <c r="O17" s="29">
        <f>'[1]Зведена помісячно'!$AN$20+2431.54</f>
        <v>139835.906381</v>
      </c>
      <c r="P17" s="29">
        <f>'[1]Зведена помісячно'!$AN$21</f>
        <v>25061.39</v>
      </c>
      <c r="Q17" s="29">
        <f>'[1]Зведена помісячно'!$AN$22+163.03+151.58</f>
        <v>135735.71526499998</v>
      </c>
      <c r="R17" s="29">
        <f>'[1]Зведена помісячно'!$AN$23</f>
        <v>13302.7208</v>
      </c>
      <c r="S17" s="29">
        <f>'[1]Зведена помісячно'!$AN$24+537.41</f>
        <v>70400.019667</v>
      </c>
      <c r="T17" s="29">
        <f>'[1]Зведена помісячно'!$AN$25+284.72</f>
        <v>130937.67828899999</v>
      </c>
      <c r="U17" s="29">
        <f>'[1]Зведена помісячно'!$AN$26</f>
        <v>23525.300000000003</v>
      </c>
      <c r="V17" s="29">
        <f>'[1]Зведена помісячно'!$AN$27+3249.23+484.55+65.62+2043.65</f>
        <v>111188.3572</v>
      </c>
      <c r="W17" s="29">
        <f>'[1]Зведена помісячно'!$AN$28</f>
        <v>4846.915</v>
      </c>
      <c r="X17" s="29">
        <f>'[1]Зведена помісячно'!$AN$29</f>
        <v>5350.295</v>
      </c>
      <c r="Y17" s="29">
        <f>'[1]Зведена помісячно'!$AN$30</f>
        <v>859.538</v>
      </c>
      <c r="Z17" s="29">
        <f>'[1]Зведена помісячно'!$AN$31</f>
        <v>20663.37</v>
      </c>
      <c r="AA17" s="29">
        <f>'[1]Зведена помісячно'!$AN$32</f>
        <v>1041.705</v>
      </c>
      <c r="AB17" s="29">
        <f>'[1]Зведена помісячно'!$AN$33</f>
        <v>17027.3058</v>
      </c>
      <c r="AC17" s="29">
        <f>'[1]Зведена помісячно'!$AN$34</f>
        <v>16901.2</v>
      </c>
      <c r="AD17" s="29">
        <f>'[1]Зведена помісячно'!$AN$35</f>
        <v>1165.79</v>
      </c>
      <c r="AE17" s="29">
        <f>'[1]Зведена помісячно'!$AN$41</f>
        <v>159136.23188</v>
      </c>
      <c r="AF17" s="29">
        <f>'[1]Зведена помісячно'!$AN$42</f>
        <v>21600.07</v>
      </c>
      <c r="AG17" s="29">
        <f>'[1]Зведена помісячно'!$AN$43</f>
        <v>6691.560799999999</v>
      </c>
      <c r="AH17" s="29">
        <f>'[1]Зведена помісячно'!$AN$47</f>
        <v>15987.159499999998</v>
      </c>
      <c r="AI17" s="29">
        <f>'[1]Зведена помісячно'!$AN$46</f>
        <v>8957.585</v>
      </c>
      <c r="AJ17" s="29">
        <f>'[1]Зведена помісячно'!$AN$48</f>
        <v>22564.25</v>
      </c>
      <c r="AK17" s="29">
        <f>'[1]Зведена помісячно'!$AN$53</f>
        <v>15636.823199999999</v>
      </c>
      <c r="AL17" s="29">
        <f>'[1]Зведена помісячно'!$AN$44+2.35</f>
        <v>110685.03377000001</v>
      </c>
      <c r="AM17" s="29">
        <f>'[1]Зведена помісячно'!$AN$45</f>
        <v>10900.4063</v>
      </c>
      <c r="AN17" s="29">
        <f>'[1]Зведена помісячно'!$AN$40</f>
        <v>38263.44</v>
      </c>
      <c r="AO17" s="29">
        <f>'[1]Зведена помісячно'!$AN$50</f>
        <v>7008.99</v>
      </c>
      <c r="AP17" s="29">
        <f>'[1]Зведена помісячно'!$AN$51</f>
        <v>9008.9777</v>
      </c>
      <c r="AQ17" s="29">
        <f>'[1]Зведена помісячно'!$AN$52</f>
        <v>16796.9875</v>
      </c>
      <c r="AR17" s="29">
        <f>'[1]Зведена помісячно'!$AN$49</f>
        <v>10899.82</v>
      </c>
      <c r="AS17" s="29">
        <v>6997.33</v>
      </c>
      <c r="AT17" s="29">
        <v>4563.15</v>
      </c>
      <c r="AU17" s="29">
        <f>'[1]Зведена помісячно'!$AN$38</f>
        <v>2707.161</v>
      </c>
      <c r="AV17" s="30">
        <f>4756.5+6319.44+13858.94</f>
        <v>24934.879999999997</v>
      </c>
      <c r="AW17" s="31">
        <f>SUM(C17:AV17)</f>
        <v>2320724.695643</v>
      </c>
      <c r="AX17" s="63"/>
      <c r="AY17" s="36"/>
      <c r="AZ17" s="36"/>
      <c r="BA17" s="36"/>
      <c r="BB17" s="27"/>
      <c r="BC17" s="27"/>
      <c r="BD17" s="27"/>
      <c r="BE17" s="28"/>
    </row>
    <row r="18" spans="1:57" ht="15.75">
      <c r="A18" s="24"/>
      <c r="B18" s="38" t="s">
        <v>47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>
        <f>600+1138.42</f>
        <v>1738.42</v>
      </c>
      <c r="AT18" s="29"/>
      <c r="AU18" s="29"/>
      <c r="AV18" s="30"/>
      <c r="AW18" s="31">
        <f>SUM(C18:AV18)</f>
        <v>1738.42</v>
      </c>
      <c r="AX18" s="10"/>
      <c r="AY18" s="27"/>
      <c r="AZ18" s="27"/>
      <c r="BA18" s="27"/>
      <c r="BB18" s="27"/>
      <c r="BC18" s="27"/>
      <c r="BD18" s="27"/>
      <c r="BE18" s="28"/>
    </row>
    <row r="19" spans="1:57" ht="15.75">
      <c r="A19" s="24"/>
      <c r="B19" s="38" t="s">
        <v>62</v>
      </c>
      <c r="C19" s="29"/>
      <c r="D19" s="29"/>
      <c r="E19" s="29"/>
      <c r="F19" s="29">
        <f>29392.63</f>
        <v>29392.63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0"/>
      <c r="AW19" s="31">
        <f>SUM(C19:AV19)</f>
        <v>29392.63</v>
      </c>
      <c r="AX19" s="10"/>
      <c r="AY19" s="27"/>
      <c r="AZ19" s="27"/>
      <c r="BA19" s="27"/>
      <c r="BB19" s="27"/>
      <c r="BC19" s="27"/>
      <c r="BD19" s="27"/>
      <c r="BE19" s="28"/>
    </row>
    <row r="20" spans="1:57" ht="15.75">
      <c r="A20" s="24"/>
      <c r="B20" s="38" t="s">
        <v>60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>228319.99</f>
        <v>228319.99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30"/>
      <c r="AW20" s="31">
        <f>SUM(C20:AV20)</f>
        <v>228319.99</v>
      </c>
      <c r="AX20" s="10"/>
      <c r="AY20" s="27"/>
      <c r="AZ20" s="27"/>
      <c r="BA20" s="27"/>
      <c r="BB20" s="27"/>
      <c r="BC20" s="27"/>
      <c r="BD20" s="27"/>
      <c r="BE20" s="28"/>
    </row>
    <row r="21" spans="1:57" ht="30">
      <c r="A21" s="24"/>
      <c r="B21" s="24" t="s">
        <v>61</v>
      </c>
      <c r="C21" s="29"/>
      <c r="D21" s="29"/>
      <c r="E21" s="29"/>
      <c r="F21" s="29"/>
      <c r="G21" s="29"/>
      <c r="H21" s="29">
        <f>74250</f>
        <v>74250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30"/>
      <c r="AW21" s="31">
        <f>SUM(C21:AV21)</f>
        <v>74250</v>
      </c>
      <c r="AX21" s="10"/>
      <c r="AY21" s="27"/>
      <c r="AZ21" s="27"/>
      <c r="BA21" s="27"/>
      <c r="BB21" s="27"/>
      <c r="BC21" s="27"/>
      <c r="BD21" s="27"/>
      <c r="BE21" s="28"/>
    </row>
    <row r="22" spans="1:56" ht="16.5" thickBot="1">
      <c r="A22" s="39"/>
      <c r="B22" s="40" t="s">
        <v>66</v>
      </c>
      <c r="C22" s="41">
        <f aca="true" t="shared" si="1" ref="C22:AW22">SUM(C3:C21)</f>
        <v>53931.179200000006</v>
      </c>
      <c r="D22" s="41">
        <f t="shared" si="1"/>
        <v>288285.12752299994</v>
      </c>
      <c r="E22" s="41">
        <f t="shared" si="1"/>
        <v>12244.150000000001</v>
      </c>
      <c r="F22" s="41">
        <f t="shared" si="1"/>
        <v>144412.690938</v>
      </c>
      <c r="G22" s="41">
        <f t="shared" si="1"/>
        <v>163724.11281</v>
      </c>
      <c r="H22" s="41">
        <f t="shared" si="1"/>
        <v>275615.5</v>
      </c>
      <c r="I22" s="41">
        <f t="shared" si="1"/>
        <v>149578.82456800004</v>
      </c>
      <c r="J22" s="41">
        <f t="shared" si="1"/>
        <v>111364.34919499999</v>
      </c>
      <c r="K22" s="41">
        <f t="shared" si="1"/>
        <v>23093.859999999997</v>
      </c>
      <c r="L22" s="41">
        <f t="shared" si="1"/>
        <v>339324.31040099997</v>
      </c>
      <c r="M22" s="41">
        <f t="shared" si="1"/>
        <v>179839.25461399998</v>
      </c>
      <c r="N22" s="41">
        <f t="shared" si="1"/>
        <v>69152.47334200001</v>
      </c>
      <c r="O22" s="41">
        <f t="shared" si="1"/>
        <v>142027.866381</v>
      </c>
      <c r="P22" s="41">
        <f t="shared" si="1"/>
        <v>25922.899999999998</v>
      </c>
      <c r="Q22" s="41">
        <f t="shared" si="1"/>
        <v>138142.57526499996</v>
      </c>
      <c r="R22" s="41">
        <f t="shared" si="1"/>
        <v>14280.380799999999</v>
      </c>
      <c r="S22" s="41">
        <f t="shared" si="1"/>
        <v>74291.679667</v>
      </c>
      <c r="T22" s="41">
        <f t="shared" si="1"/>
        <v>135906.978289</v>
      </c>
      <c r="U22" s="41">
        <f t="shared" si="1"/>
        <v>97297.37999999999</v>
      </c>
      <c r="V22" s="41">
        <f t="shared" si="1"/>
        <v>113107.6572</v>
      </c>
      <c r="W22" s="41">
        <f t="shared" si="1"/>
        <v>5287.275</v>
      </c>
      <c r="X22" s="41">
        <f t="shared" si="1"/>
        <v>6302.415</v>
      </c>
      <c r="Y22" s="41">
        <f t="shared" si="1"/>
        <v>1727.1979999999999</v>
      </c>
      <c r="Z22" s="41">
        <f t="shared" si="1"/>
        <v>21391.03</v>
      </c>
      <c r="AA22" s="41">
        <f t="shared" si="1"/>
        <v>18912.035000000003</v>
      </c>
      <c r="AB22" s="41">
        <f t="shared" si="1"/>
        <v>17754.965799999998</v>
      </c>
      <c r="AC22" s="41">
        <f t="shared" si="1"/>
        <v>110227.57</v>
      </c>
      <c r="AD22" s="41">
        <f t="shared" si="1"/>
        <v>1165.79</v>
      </c>
      <c r="AE22" s="41">
        <f t="shared" si="1"/>
        <v>163926.38188</v>
      </c>
      <c r="AF22" s="41">
        <f t="shared" si="1"/>
        <v>21600.07</v>
      </c>
      <c r="AG22" s="41">
        <f t="shared" si="1"/>
        <v>8921.5608</v>
      </c>
      <c r="AH22" s="41">
        <f t="shared" si="1"/>
        <v>83039.5095</v>
      </c>
      <c r="AI22" s="41">
        <f t="shared" si="1"/>
        <v>41130.915</v>
      </c>
      <c r="AJ22" s="41">
        <f t="shared" si="1"/>
        <v>23754.25</v>
      </c>
      <c r="AK22" s="41">
        <f t="shared" si="1"/>
        <v>15636.823199999999</v>
      </c>
      <c r="AL22" s="41">
        <f t="shared" si="1"/>
        <v>112886.96377</v>
      </c>
      <c r="AM22" s="41">
        <f t="shared" si="1"/>
        <v>11602.526300000001</v>
      </c>
      <c r="AN22" s="41">
        <f t="shared" si="1"/>
        <v>38684.14</v>
      </c>
      <c r="AO22" s="41">
        <f t="shared" si="1"/>
        <v>7256.63</v>
      </c>
      <c r="AP22" s="41">
        <f t="shared" si="1"/>
        <v>10758.9777</v>
      </c>
      <c r="AQ22" s="41">
        <f t="shared" si="1"/>
        <v>16946.9875</v>
      </c>
      <c r="AR22" s="41">
        <f t="shared" si="1"/>
        <v>11049.82</v>
      </c>
      <c r="AS22" s="41">
        <f t="shared" si="1"/>
        <v>36651.55</v>
      </c>
      <c r="AT22" s="41">
        <f t="shared" si="1"/>
        <v>45115.979999999996</v>
      </c>
      <c r="AU22" s="41">
        <f t="shared" si="1"/>
        <v>24891.700999999997</v>
      </c>
      <c r="AV22" s="42">
        <f t="shared" si="1"/>
        <v>25684.879999999997</v>
      </c>
      <c r="AW22" s="43">
        <f t="shared" si="1"/>
        <v>3433851.1956429994</v>
      </c>
      <c r="AX22" s="22"/>
      <c r="AY22" s="11"/>
      <c r="AZ22" s="11"/>
      <c r="BA22" s="11"/>
      <c r="BB22" s="11"/>
      <c r="BC22" s="11"/>
      <c r="BD22" s="11"/>
    </row>
    <row r="23" spans="1:56" ht="15.75">
      <c r="A23" s="44"/>
      <c r="B23" s="45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7"/>
      <c r="AW23" s="48"/>
      <c r="AX23" s="23"/>
      <c r="AY23" s="11"/>
      <c r="AZ23" s="11"/>
      <c r="BA23" s="11"/>
      <c r="BB23" s="11"/>
      <c r="BC23" s="11"/>
      <c r="BD23" s="11"/>
    </row>
    <row r="24" spans="1:56" ht="15.75">
      <c r="A24" s="44"/>
      <c r="B24" s="49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6"/>
      <c r="N24" s="46"/>
      <c r="O24" s="50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7"/>
      <c r="AW24" s="51"/>
      <c r="AX24" s="23"/>
      <c r="AY24" s="11"/>
      <c r="AZ24" s="11"/>
      <c r="BA24" s="11"/>
      <c r="BB24" s="11"/>
      <c r="BC24" s="11"/>
      <c r="BD24" s="11"/>
    </row>
    <row r="25" spans="1:56" ht="15.75">
      <c r="A25" s="44"/>
      <c r="B25" s="49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3"/>
      <c r="AW25" s="51"/>
      <c r="AX25" s="14"/>
      <c r="AY25" s="11"/>
      <c r="AZ25" s="11"/>
      <c r="BA25" s="11"/>
      <c r="BB25" s="11"/>
      <c r="BC25" s="11"/>
      <c r="BD25" s="11"/>
    </row>
    <row r="26" spans="1:56" ht="15.75">
      <c r="A26" s="44"/>
      <c r="B26" s="49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3"/>
      <c r="AW26" s="51"/>
      <c r="AX26" s="14"/>
      <c r="AY26" s="11"/>
      <c r="AZ26" s="11"/>
      <c r="BA26" s="11"/>
      <c r="BB26" s="11"/>
      <c r="BC26" s="11"/>
      <c r="BD26" s="11"/>
    </row>
    <row r="27" spans="1:56" ht="15.75">
      <c r="A27" s="44"/>
      <c r="B27" s="49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3"/>
      <c r="AW27" s="48"/>
      <c r="AX27" s="14"/>
      <c r="AY27" s="11"/>
      <c r="AZ27" s="11"/>
      <c r="BA27" s="11"/>
      <c r="BB27" s="11"/>
      <c r="BC27" s="11"/>
      <c r="BD27" s="11"/>
    </row>
    <row r="28" spans="1:56" ht="15.75">
      <c r="A28" s="44"/>
      <c r="B28" s="49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3"/>
      <c r="AW28" s="48"/>
      <c r="AX28" s="14"/>
      <c r="AY28" s="11"/>
      <c r="AZ28" s="11"/>
      <c r="BA28" s="11"/>
      <c r="BB28" s="11"/>
      <c r="BC28" s="11"/>
      <c r="BD28" s="11"/>
    </row>
    <row r="29" spans="1:56" ht="15.75">
      <c r="A29" s="44"/>
      <c r="B29" s="49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3"/>
      <c r="AW29" s="48"/>
      <c r="AX29" s="14"/>
      <c r="AY29" s="11"/>
      <c r="AZ29" s="11"/>
      <c r="BA29" s="11"/>
      <c r="BB29" s="11"/>
      <c r="BC29" s="11"/>
      <c r="BD29" s="11"/>
    </row>
    <row r="30" spans="1:56" ht="15.75">
      <c r="A30" s="44"/>
      <c r="B30" s="49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3"/>
      <c r="AW30" s="48"/>
      <c r="AX30" s="14"/>
      <c r="AY30" s="11"/>
      <c r="AZ30" s="11"/>
      <c r="BA30" s="11"/>
      <c r="BB30" s="11"/>
      <c r="BC30" s="11"/>
      <c r="BD30" s="11"/>
    </row>
    <row r="31" spans="1:56" ht="15.75">
      <c r="A31" s="44"/>
      <c r="B31" s="49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3"/>
      <c r="AW31" s="48"/>
      <c r="AX31" s="14"/>
      <c r="AY31" s="11"/>
      <c r="AZ31" s="11"/>
      <c r="BA31" s="11"/>
      <c r="BB31" s="11"/>
      <c r="BC31" s="11"/>
      <c r="BD31" s="11"/>
    </row>
    <row r="32" spans="1:56" ht="15.75">
      <c r="A32" s="44"/>
      <c r="B32" s="49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3"/>
      <c r="AW32" s="48"/>
      <c r="AX32" s="14"/>
      <c r="AY32" s="11"/>
      <c r="AZ32" s="11"/>
      <c r="BA32" s="11"/>
      <c r="BB32" s="11"/>
      <c r="BC32" s="11"/>
      <c r="BD32" s="11"/>
    </row>
    <row r="33" spans="1:56" ht="15.75">
      <c r="A33" s="44"/>
      <c r="B33" s="4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3"/>
      <c r="AW33" s="48"/>
      <c r="AX33" s="14"/>
      <c r="AY33" s="11"/>
      <c r="AZ33" s="11"/>
      <c r="BA33" s="11"/>
      <c r="BB33" s="11"/>
      <c r="BC33" s="11"/>
      <c r="BD33" s="11"/>
    </row>
    <row r="34" spans="1:56" ht="15.75">
      <c r="A34" s="54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48"/>
      <c r="AW34" s="48"/>
      <c r="AX34" s="14"/>
      <c r="AY34" s="11"/>
      <c r="AZ34" s="11"/>
      <c r="BA34" s="11"/>
      <c r="BB34" s="11"/>
      <c r="BC34" s="11"/>
      <c r="BD34" s="11"/>
    </row>
    <row r="35" spans="1:56" ht="15.75">
      <c r="A35" s="54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48"/>
      <c r="AW35" s="48"/>
      <c r="AX35" s="14"/>
      <c r="AY35" s="11"/>
      <c r="AZ35" s="11"/>
      <c r="BA35" s="11"/>
      <c r="BB35" s="11"/>
      <c r="BC35" s="11"/>
      <c r="BD35" s="11"/>
    </row>
    <row r="36" spans="1:56" ht="15.75">
      <c r="A36" s="54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 t="s">
        <v>63</v>
      </c>
      <c r="AQ36" s="55"/>
      <c r="AR36" s="55"/>
      <c r="AS36" s="55"/>
      <c r="AT36" s="55"/>
      <c r="AU36" s="55"/>
      <c r="AV36" s="48"/>
      <c r="AW36" s="48"/>
      <c r="AX36" s="14"/>
      <c r="AY36" s="11"/>
      <c r="AZ36" s="11"/>
      <c r="BA36" s="11"/>
      <c r="BB36" s="11"/>
      <c r="BC36" s="11"/>
      <c r="BD36" s="11"/>
    </row>
    <row r="37" spans="1:56" ht="15.75">
      <c r="A37" s="44"/>
      <c r="B37" s="4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3"/>
      <c r="AW37" s="48"/>
      <c r="AX37" s="14"/>
      <c r="AY37" s="11"/>
      <c r="AZ37" s="11"/>
      <c r="BA37" s="11"/>
      <c r="BB37" s="11"/>
      <c r="BC37" s="11"/>
      <c r="BD37" s="11"/>
    </row>
    <row r="38" spans="1:56" ht="15.75">
      <c r="A38" s="44"/>
      <c r="B38" s="49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3"/>
      <c r="AW38" s="48"/>
      <c r="AX38" s="14"/>
      <c r="AY38" s="11"/>
      <c r="AZ38" s="11"/>
      <c r="BA38" s="11"/>
      <c r="BB38" s="11"/>
      <c r="BC38" s="11"/>
      <c r="BD38" s="11"/>
    </row>
    <row r="39" spans="1:56" ht="15.75">
      <c r="A39" s="44"/>
      <c r="B39" s="49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3"/>
      <c r="AW39" s="48"/>
      <c r="AX39" s="14"/>
      <c r="AY39" s="11"/>
      <c r="AZ39" s="11"/>
      <c r="BA39" s="11"/>
      <c r="BB39" s="11"/>
      <c r="BC39" s="11"/>
      <c r="BD39" s="11"/>
    </row>
    <row r="40" spans="1:56" ht="15.75">
      <c r="A40" s="44"/>
      <c r="B40" s="49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3"/>
      <c r="AW40" s="48"/>
      <c r="AX40" s="14"/>
      <c r="AY40" s="11"/>
      <c r="AZ40" s="11"/>
      <c r="BA40" s="11"/>
      <c r="BB40" s="11"/>
      <c r="BC40" s="11"/>
      <c r="BD40" s="11"/>
    </row>
    <row r="41" spans="1:56" ht="15.75">
      <c r="A41" s="44"/>
      <c r="B41" s="49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3"/>
      <c r="AW41" s="48"/>
      <c r="AX41" s="14"/>
      <c r="AY41" s="11"/>
      <c r="AZ41" s="11"/>
      <c r="BA41" s="11"/>
      <c r="BB41" s="11"/>
      <c r="BC41" s="11"/>
      <c r="BD41" s="11"/>
    </row>
    <row r="42" spans="1:56" ht="15.75">
      <c r="A42" s="44"/>
      <c r="B42" s="49"/>
      <c r="C42" s="55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5"/>
      <c r="AX42" s="14"/>
      <c r="AY42" s="11"/>
      <c r="AZ42" s="11"/>
      <c r="BA42" s="11"/>
      <c r="BB42" s="11"/>
      <c r="BC42" s="11"/>
      <c r="BD42" s="11"/>
    </row>
    <row r="43" spans="1:56" ht="15.75">
      <c r="A43" s="44"/>
      <c r="B43" s="5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5"/>
      <c r="AX43" s="14"/>
      <c r="AY43" s="11"/>
      <c r="AZ43" s="11"/>
      <c r="BA43" s="11"/>
      <c r="BB43" s="11"/>
      <c r="BC43" s="11"/>
      <c r="BD43" s="11"/>
    </row>
    <row r="44" spans="1:56" ht="15.75">
      <c r="A44" s="44"/>
      <c r="B44" s="5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5"/>
      <c r="AX44" s="14"/>
      <c r="AY44" s="11"/>
      <c r="AZ44" s="11"/>
      <c r="BA44" s="11"/>
      <c r="BB44" s="11"/>
      <c r="BC44" s="11"/>
      <c r="BD44" s="11"/>
    </row>
    <row r="45" spans="1:56" ht="15.75">
      <c r="A45" s="44"/>
      <c r="B45" s="5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5"/>
      <c r="AX45" s="14"/>
      <c r="AY45" s="11"/>
      <c r="AZ45" s="11"/>
      <c r="BA45" s="11"/>
      <c r="BB45" s="11"/>
      <c r="BC45" s="11"/>
      <c r="BD45" s="11"/>
    </row>
    <row r="46" spans="1:56" ht="15.75">
      <c r="A46" s="44"/>
      <c r="B46" s="5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5"/>
      <c r="AX46" s="14"/>
      <c r="AY46" s="11"/>
      <c r="AZ46" s="11"/>
      <c r="BA46" s="11"/>
      <c r="BB46" s="11"/>
      <c r="BC46" s="11"/>
      <c r="BD46" s="11"/>
    </row>
    <row r="47" spans="1:56" ht="15.75">
      <c r="A47" s="4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5"/>
      <c r="AX47" s="14"/>
      <c r="AY47" s="11"/>
      <c r="AZ47" s="11"/>
      <c r="BA47" s="11"/>
      <c r="BB47" s="11"/>
      <c r="BC47" s="11"/>
      <c r="BD47" s="11"/>
    </row>
    <row r="48" spans="1:56" ht="15.75">
      <c r="A48" s="44"/>
      <c r="B48" s="5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9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5"/>
      <c r="AX48" s="14"/>
      <c r="AY48" s="11"/>
      <c r="AZ48" s="11"/>
      <c r="BA48" s="11"/>
      <c r="BB48" s="11"/>
      <c r="BC48" s="11"/>
      <c r="BD48" s="11"/>
    </row>
    <row r="49" spans="1:56" ht="15.75">
      <c r="A49" s="44"/>
      <c r="B49" s="49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60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60"/>
      <c r="AT49" s="60"/>
      <c r="AU49" s="60"/>
      <c r="AV49" s="52"/>
      <c r="AW49" s="55"/>
      <c r="AX49" s="14"/>
      <c r="AY49" s="11"/>
      <c r="AZ49" s="11"/>
      <c r="BA49" s="11"/>
      <c r="BB49" s="11"/>
      <c r="BC49" s="11"/>
      <c r="BD49" s="11"/>
    </row>
    <row r="50" spans="1:56" ht="15.75">
      <c r="A50" s="44"/>
      <c r="B50" s="49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9"/>
      <c r="AD50" s="52"/>
      <c r="AE50" s="52"/>
      <c r="AF50" s="52"/>
      <c r="AG50" s="52"/>
      <c r="AH50" s="60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5"/>
      <c r="AX50" s="14"/>
      <c r="AY50" s="11"/>
      <c r="AZ50" s="11"/>
      <c r="BA50" s="11"/>
      <c r="BB50" s="11"/>
      <c r="BC50" s="11"/>
      <c r="BD50" s="11"/>
    </row>
    <row r="51" spans="1:56" ht="15.75">
      <c r="A51" s="44"/>
      <c r="B51" s="49"/>
      <c r="C51" s="6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5"/>
      <c r="AX51" s="14"/>
      <c r="AY51" s="11"/>
      <c r="AZ51" s="11"/>
      <c r="BA51" s="11"/>
      <c r="BB51" s="11"/>
      <c r="BC51" s="11"/>
      <c r="BD51" s="11"/>
    </row>
    <row r="52" spans="1:56" ht="15.75">
      <c r="A52" s="44"/>
      <c r="B52" s="49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60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5"/>
      <c r="AX52" s="14"/>
      <c r="AY52" s="11"/>
      <c r="AZ52" s="11"/>
      <c r="BA52" s="11"/>
      <c r="BB52" s="11"/>
      <c r="BC52" s="11"/>
      <c r="BD52" s="11"/>
    </row>
    <row r="53" spans="1:56" ht="15.75">
      <c r="A53" s="44"/>
      <c r="B53" s="49"/>
      <c r="C53" s="6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5"/>
      <c r="AX53" s="14"/>
      <c r="AY53" s="11"/>
      <c r="AZ53" s="11"/>
      <c r="BA53" s="11"/>
      <c r="BB53" s="11"/>
      <c r="BC53" s="11"/>
      <c r="BD53" s="11"/>
    </row>
    <row r="54" spans="1:56" ht="15.75">
      <c r="A54" s="44"/>
      <c r="B54" s="4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5"/>
      <c r="AX54" s="14"/>
      <c r="AY54" s="11"/>
      <c r="AZ54" s="11"/>
      <c r="BA54" s="11"/>
      <c r="BB54" s="11"/>
      <c r="BC54" s="11"/>
      <c r="BD54" s="11"/>
    </row>
    <row r="55" spans="1:56" ht="15.75">
      <c r="A55" s="44"/>
      <c r="B55" s="49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5"/>
      <c r="AX55" s="14"/>
      <c r="AY55" s="11"/>
      <c r="AZ55" s="11"/>
      <c r="BA55" s="11"/>
      <c r="BB55" s="11"/>
      <c r="BC55" s="11"/>
      <c r="BD55" s="11"/>
    </row>
    <row r="56" spans="2:56" ht="15.75">
      <c r="B56" s="1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3"/>
      <c r="AX56" s="14"/>
      <c r="AY56" s="11"/>
      <c r="AZ56" s="11"/>
      <c r="BA56" s="11"/>
      <c r="BB56" s="11"/>
      <c r="BC56" s="11"/>
      <c r="BD56" s="11"/>
    </row>
    <row r="57" spans="2:56" ht="15.75"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3"/>
      <c r="AX57" s="14"/>
      <c r="AY57" s="11"/>
      <c r="AZ57" s="11"/>
      <c r="BA57" s="11"/>
      <c r="BB57" s="11"/>
      <c r="BC57" s="11"/>
      <c r="BD57" s="11"/>
    </row>
    <row r="58" spans="2:56" ht="15.75"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3"/>
      <c r="AX58" s="14"/>
      <c r="AY58" s="11"/>
      <c r="AZ58" s="11"/>
      <c r="BA58" s="11"/>
      <c r="BB58" s="11"/>
      <c r="BC58" s="11"/>
      <c r="BD58" s="11"/>
    </row>
    <row r="59" spans="2:56" ht="15.75"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3"/>
      <c r="AX59" s="14"/>
      <c r="AY59" s="11"/>
      <c r="AZ59" s="11"/>
      <c r="BA59" s="11"/>
      <c r="BB59" s="11"/>
      <c r="BC59" s="11"/>
      <c r="BD59" s="11"/>
    </row>
    <row r="60" spans="2:56" ht="15.75"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37"/>
      <c r="AD60" s="12"/>
      <c r="AE60" s="12"/>
      <c r="AF60" s="12"/>
      <c r="AG60" s="12"/>
      <c r="AH60" s="12"/>
      <c r="AI60" s="37"/>
      <c r="AJ60" s="12"/>
      <c r="AK60" s="12"/>
      <c r="AL60" s="12"/>
      <c r="AM60" s="12"/>
      <c r="AN60" s="12"/>
      <c r="AO60" s="12"/>
      <c r="AP60" s="12"/>
      <c r="AQ60" s="12"/>
      <c r="AR60" s="12"/>
      <c r="AS60" s="37"/>
      <c r="AT60" s="37"/>
      <c r="AU60" s="37"/>
      <c r="AV60" s="12"/>
      <c r="AW60" s="13"/>
      <c r="AX60" s="14"/>
      <c r="AY60" s="11"/>
      <c r="AZ60" s="11"/>
      <c r="BA60" s="11"/>
      <c r="BB60" s="11"/>
      <c r="BC60" s="11"/>
      <c r="BD60" s="11"/>
    </row>
    <row r="61" spans="2:56" ht="15.75"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37"/>
      <c r="AD61" s="12"/>
      <c r="AE61" s="12"/>
      <c r="AF61" s="12"/>
      <c r="AG61" s="12"/>
      <c r="AH61" s="12"/>
      <c r="AI61" s="37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3"/>
      <c r="AX61" s="14"/>
      <c r="AY61" s="11"/>
      <c r="AZ61" s="11"/>
      <c r="BA61" s="11"/>
      <c r="BB61" s="11"/>
      <c r="BC61" s="11"/>
      <c r="BD61" s="11"/>
    </row>
    <row r="62" spans="2:56" ht="15.75"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3"/>
      <c r="AX62" s="14"/>
      <c r="AY62" s="11"/>
      <c r="AZ62" s="11"/>
      <c r="BA62" s="11"/>
      <c r="BB62" s="11"/>
      <c r="BC62" s="11"/>
      <c r="BD62" s="11"/>
    </row>
    <row r="63" spans="2:56" ht="15.75"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3"/>
      <c r="AX63" s="14"/>
      <c r="AY63" s="11"/>
      <c r="AZ63" s="11"/>
      <c r="BA63" s="11"/>
      <c r="BB63" s="11"/>
      <c r="BC63" s="11"/>
      <c r="BD63" s="11"/>
    </row>
    <row r="64" spans="2:56" ht="15.75"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3"/>
      <c r="AX64" s="14"/>
      <c r="AY64" s="11"/>
      <c r="AZ64" s="11"/>
      <c r="BA64" s="11"/>
      <c r="BB64" s="11"/>
      <c r="BC64" s="11"/>
      <c r="BD64" s="11"/>
    </row>
    <row r="65" spans="2:56" ht="15.75"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3"/>
      <c r="AX65" s="14"/>
      <c r="AY65" s="11"/>
      <c r="AZ65" s="11"/>
      <c r="BA65" s="11"/>
      <c r="BB65" s="11"/>
      <c r="BC65" s="11"/>
      <c r="BD65" s="11"/>
    </row>
    <row r="66" spans="2:56" ht="15.75"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3"/>
      <c r="AX66" s="14"/>
      <c r="AY66" s="11"/>
      <c r="AZ66" s="11"/>
      <c r="BA66" s="11"/>
      <c r="BB66" s="11"/>
      <c r="BC66" s="11"/>
      <c r="BD66" s="11"/>
    </row>
    <row r="67" spans="2:56" ht="15.75"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3"/>
      <c r="AX67" s="14"/>
      <c r="AY67" s="11"/>
      <c r="AZ67" s="11"/>
      <c r="BA67" s="11"/>
      <c r="BB67" s="11"/>
      <c r="BC67" s="11"/>
      <c r="BD67" s="11"/>
    </row>
    <row r="68" spans="2:56" ht="15.75"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3"/>
      <c r="AX68" s="14"/>
      <c r="AY68" s="11"/>
      <c r="AZ68" s="11"/>
      <c r="BA68" s="11"/>
      <c r="BB68" s="11"/>
      <c r="BC68" s="11"/>
      <c r="BD68" s="11"/>
    </row>
    <row r="69" spans="2:56" ht="15.75"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3"/>
      <c r="AX69" s="14"/>
      <c r="AY69" s="11"/>
      <c r="AZ69" s="11"/>
      <c r="BA69" s="11"/>
      <c r="BB69" s="11"/>
      <c r="BC69" s="11"/>
      <c r="BD69" s="11"/>
    </row>
    <row r="70" spans="2:56" ht="15.75"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3"/>
      <c r="AX70" s="14"/>
      <c r="AY70" s="11"/>
      <c r="AZ70" s="11"/>
      <c r="BA70" s="11"/>
      <c r="BB70" s="11"/>
      <c r="BC70" s="11"/>
      <c r="BD70" s="11"/>
    </row>
    <row r="71" spans="2:56" ht="15.75"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3"/>
      <c r="AX71" s="14"/>
      <c r="AY71" s="11"/>
      <c r="AZ71" s="11"/>
      <c r="BA71" s="11"/>
      <c r="BB71" s="11"/>
      <c r="BC71" s="11"/>
      <c r="BD71" s="11"/>
    </row>
    <row r="72" spans="2:56" ht="15.75"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3"/>
      <c r="AX72" s="14"/>
      <c r="AY72" s="11"/>
      <c r="AZ72" s="11"/>
      <c r="BA72" s="11"/>
      <c r="BB72" s="11"/>
      <c r="BC72" s="11"/>
      <c r="BD72" s="11"/>
    </row>
    <row r="73" spans="2:56" ht="15.75"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3"/>
      <c r="AX73" s="14"/>
      <c r="AY73" s="11"/>
      <c r="AZ73" s="11"/>
      <c r="BA73" s="11"/>
      <c r="BB73" s="11"/>
      <c r="BC73" s="11"/>
      <c r="BD73" s="11"/>
    </row>
    <row r="74" spans="2:56" ht="15.75"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3"/>
      <c r="AX74" s="14"/>
      <c r="AY74" s="11"/>
      <c r="AZ74" s="11"/>
      <c r="BA74" s="11"/>
      <c r="BB74" s="11"/>
      <c r="BC74" s="11"/>
      <c r="BD74" s="11"/>
    </row>
    <row r="75" spans="2:56" ht="15.75"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3"/>
      <c r="AX75" s="14"/>
      <c r="AY75" s="11"/>
      <c r="AZ75" s="11"/>
      <c r="BA75" s="11"/>
      <c r="BB75" s="11"/>
      <c r="BC75" s="11"/>
      <c r="BD75" s="11"/>
    </row>
    <row r="76" spans="2:56" ht="15.75"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3"/>
      <c r="AX76" s="14"/>
      <c r="AY76" s="11"/>
      <c r="AZ76" s="11"/>
      <c r="BA76" s="11"/>
      <c r="BB76" s="11"/>
      <c r="BC76" s="11"/>
      <c r="BD76" s="11"/>
    </row>
    <row r="77" spans="2:56" ht="15.75"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3"/>
      <c r="AX77" s="14"/>
      <c r="AY77" s="11"/>
      <c r="AZ77" s="11"/>
      <c r="BA77" s="11"/>
      <c r="BB77" s="11"/>
      <c r="BC77" s="11"/>
      <c r="BD77" s="11"/>
    </row>
    <row r="78" spans="2:56" ht="15.75"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3"/>
      <c r="AX78" s="14"/>
      <c r="AY78" s="11"/>
      <c r="AZ78" s="11"/>
      <c r="BA78" s="11"/>
      <c r="BB78" s="11"/>
      <c r="BC78" s="11"/>
      <c r="BD78" s="11"/>
    </row>
    <row r="79" spans="2:56" ht="15.75"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3"/>
      <c r="AX79" s="14"/>
      <c r="AY79" s="11"/>
      <c r="AZ79" s="11"/>
      <c r="BA79" s="11"/>
      <c r="BB79" s="11"/>
      <c r="BC79" s="11"/>
      <c r="BD79" s="11"/>
    </row>
    <row r="80" spans="2:56" ht="15.75"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3"/>
      <c r="AX80" s="14"/>
      <c r="AY80" s="11"/>
      <c r="AZ80" s="11"/>
      <c r="BA80" s="11"/>
      <c r="BB80" s="11"/>
      <c r="BC80" s="11"/>
      <c r="BD80" s="11"/>
    </row>
    <row r="81" spans="2:56" ht="15.75"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3"/>
      <c r="AX81" s="14"/>
      <c r="AY81" s="11"/>
      <c r="AZ81" s="11"/>
      <c r="BA81" s="11"/>
      <c r="BB81" s="11"/>
      <c r="BC81" s="11"/>
      <c r="BD81" s="11"/>
    </row>
    <row r="82" spans="2:56" ht="15.75"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3"/>
      <c r="AX82" s="14"/>
      <c r="AY82" s="11"/>
      <c r="AZ82" s="11"/>
      <c r="BA82" s="11"/>
      <c r="BB82" s="11"/>
      <c r="BC82" s="11"/>
      <c r="BD82" s="11"/>
    </row>
    <row r="83" spans="2:56" ht="15.75"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3"/>
      <c r="AX83" s="14"/>
      <c r="AY83" s="11"/>
      <c r="AZ83" s="11"/>
      <c r="BA83" s="11"/>
      <c r="BB83" s="11"/>
      <c r="BC83" s="11"/>
      <c r="BD83" s="11"/>
    </row>
    <row r="84" spans="2:56" ht="15.75"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3"/>
      <c r="AX84" s="14"/>
      <c r="AY84" s="11"/>
      <c r="AZ84" s="11"/>
      <c r="BA84" s="11"/>
      <c r="BB84" s="11"/>
      <c r="BC84" s="11"/>
      <c r="BD84" s="11"/>
    </row>
    <row r="85" spans="2:56" ht="15.75"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3"/>
      <c r="AX85" s="14"/>
      <c r="AY85" s="11"/>
      <c r="AZ85" s="11"/>
      <c r="BA85" s="11"/>
      <c r="BB85" s="11"/>
      <c r="BC85" s="11"/>
      <c r="BD85" s="11"/>
    </row>
    <row r="86" spans="2:56" ht="15.75"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3"/>
      <c r="AX86" s="14"/>
      <c r="AY86" s="11"/>
      <c r="AZ86" s="11"/>
      <c r="BA86" s="11"/>
      <c r="BB86" s="11"/>
      <c r="BC86" s="11"/>
      <c r="BD86" s="11"/>
    </row>
    <row r="87" spans="2:56" ht="15.75"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3"/>
      <c r="AX87" s="14"/>
      <c r="AY87" s="11"/>
      <c r="AZ87" s="11"/>
      <c r="BA87" s="11"/>
      <c r="BB87" s="11"/>
      <c r="BC87" s="11"/>
      <c r="BD87" s="11"/>
    </row>
    <row r="88" spans="2:56" ht="15.75"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3"/>
      <c r="AX88" s="14"/>
      <c r="AY88" s="11"/>
      <c r="AZ88" s="11"/>
      <c r="BA88" s="11"/>
      <c r="BB88" s="11"/>
      <c r="BC88" s="11"/>
      <c r="BD88" s="11"/>
    </row>
    <row r="89" spans="2:56" ht="15.75"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3"/>
      <c r="AX89" s="14"/>
      <c r="AY89" s="11"/>
      <c r="AZ89" s="11"/>
      <c r="BA89" s="11"/>
      <c r="BB89" s="11"/>
      <c r="BC89" s="11"/>
      <c r="BD89" s="11"/>
    </row>
    <row r="90" spans="2:56" ht="15.75"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3"/>
      <c r="AX90" s="14"/>
      <c r="AY90" s="11"/>
      <c r="AZ90" s="11"/>
      <c r="BA90" s="11"/>
      <c r="BB90" s="11"/>
      <c r="BC90" s="11"/>
      <c r="BD90" s="11"/>
    </row>
    <row r="91" spans="2:56" ht="15.75"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3"/>
      <c r="AX91" s="14"/>
      <c r="AY91" s="11"/>
      <c r="AZ91" s="11"/>
      <c r="BA91" s="11"/>
      <c r="BB91" s="11"/>
      <c r="BC91" s="11"/>
      <c r="BD91" s="11"/>
    </row>
    <row r="92" spans="2:56" ht="15.75"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3"/>
      <c r="AX92" s="14"/>
      <c r="AY92" s="11"/>
      <c r="AZ92" s="11"/>
      <c r="BA92" s="11"/>
      <c r="BB92" s="11"/>
      <c r="BC92" s="11"/>
      <c r="BD92" s="11"/>
    </row>
    <row r="93" spans="2:56" ht="15.75"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3"/>
      <c r="AX93" s="14"/>
      <c r="AY93" s="11"/>
      <c r="AZ93" s="11"/>
      <c r="BA93" s="11"/>
      <c r="BB93" s="11"/>
      <c r="BC93" s="11"/>
      <c r="BD93" s="11"/>
    </row>
    <row r="94" spans="2:56" ht="15.75"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3"/>
      <c r="AX94" s="14"/>
      <c r="AY94" s="11"/>
      <c r="AZ94" s="11"/>
      <c r="BA94" s="11"/>
      <c r="BB94" s="11"/>
      <c r="BC94" s="11"/>
      <c r="BD94" s="11"/>
    </row>
    <row r="95" spans="2:56" ht="15.75"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3"/>
      <c r="AX95" s="14"/>
      <c r="AY95" s="11"/>
      <c r="AZ95" s="11"/>
      <c r="BA95" s="11"/>
      <c r="BB95" s="11"/>
      <c r="BC95" s="11"/>
      <c r="BD95" s="11"/>
    </row>
    <row r="96" spans="2:56" ht="15.75"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3"/>
      <c r="AX96" s="14"/>
      <c r="AY96" s="11"/>
      <c r="AZ96" s="11"/>
      <c r="BA96" s="11"/>
      <c r="BB96" s="11"/>
      <c r="BC96" s="11"/>
      <c r="BD96" s="11"/>
    </row>
    <row r="97" spans="2:56" ht="15.75"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3"/>
      <c r="AX97" s="14"/>
      <c r="AY97" s="11"/>
      <c r="AZ97" s="11"/>
      <c r="BA97" s="11"/>
      <c r="BB97" s="11"/>
      <c r="BC97" s="11"/>
      <c r="BD97" s="11"/>
    </row>
    <row r="98" spans="2:56" ht="15.75"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3"/>
      <c r="AX98" s="14"/>
      <c r="AY98" s="11"/>
      <c r="AZ98" s="11"/>
      <c r="BA98" s="11"/>
      <c r="BB98" s="11"/>
      <c r="BC98" s="11"/>
      <c r="BD98" s="11"/>
    </row>
    <row r="99" spans="2:56" ht="15.75"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3"/>
      <c r="AX99" s="14"/>
      <c r="AY99" s="11"/>
      <c r="AZ99" s="11"/>
      <c r="BA99" s="11"/>
      <c r="BB99" s="11"/>
      <c r="BC99" s="11"/>
      <c r="BD99" s="11"/>
    </row>
    <row r="100" spans="2:56" ht="15.75"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3"/>
      <c r="AX100" s="14"/>
      <c r="AY100" s="11"/>
      <c r="AZ100" s="11"/>
      <c r="BA100" s="11"/>
      <c r="BB100" s="11"/>
      <c r="BC100" s="11"/>
      <c r="BD100" s="11"/>
    </row>
    <row r="101" spans="2:56" ht="15.75"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3"/>
      <c r="AX101" s="14"/>
      <c r="AY101" s="11"/>
      <c r="AZ101" s="11"/>
      <c r="BA101" s="11"/>
      <c r="BB101" s="11"/>
      <c r="BC101" s="11"/>
      <c r="BD101" s="11"/>
    </row>
    <row r="102" spans="2:56" ht="15.75"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3"/>
      <c r="AX102" s="14"/>
      <c r="AY102" s="11"/>
      <c r="AZ102" s="11"/>
      <c r="BA102" s="11"/>
      <c r="BB102" s="11"/>
      <c r="BC102" s="11"/>
      <c r="BD102" s="11"/>
    </row>
    <row r="103" spans="2:56" ht="15.75"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3"/>
      <c r="AX103" s="14"/>
      <c r="AY103" s="11"/>
      <c r="AZ103" s="11"/>
      <c r="BA103" s="11"/>
      <c r="BB103" s="11"/>
      <c r="BC103" s="11"/>
      <c r="BD103" s="11"/>
    </row>
    <row r="104" spans="2:56" ht="15.75"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3"/>
      <c r="AX104" s="14"/>
      <c r="AY104" s="11"/>
      <c r="AZ104" s="11"/>
      <c r="BA104" s="11"/>
      <c r="BB104" s="11"/>
      <c r="BC104" s="11"/>
      <c r="BD104" s="11"/>
    </row>
    <row r="105" spans="2:56" ht="15.75"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3"/>
      <c r="AX105" s="14"/>
      <c r="AY105" s="11"/>
      <c r="AZ105" s="11"/>
      <c r="BA105" s="11"/>
      <c r="BB105" s="11"/>
      <c r="BC105" s="11"/>
      <c r="BD105" s="11"/>
    </row>
    <row r="106" spans="2:56" ht="15.75"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3"/>
      <c r="AX106" s="14"/>
      <c r="AY106" s="11"/>
      <c r="AZ106" s="11"/>
      <c r="BA106" s="11"/>
      <c r="BB106" s="11"/>
      <c r="BC106" s="11"/>
      <c r="BD106" s="11"/>
    </row>
    <row r="107" spans="2:56" ht="15.75"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3"/>
      <c r="AX107" s="14"/>
      <c r="AY107" s="11"/>
      <c r="AZ107" s="11"/>
      <c r="BA107" s="11"/>
      <c r="BB107" s="11"/>
      <c r="BC107" s="11"/>
      <c r="BD107" s="11"/>
    </row>
    <row r="108" spans="2:56" ht="15.75"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3"/>
      <c r="AX108" s="14"/>
      <c r="AY108" s="11"/>
      <c r="AZ108" s="11"/>
      <c r="BA108" s="11"/>
      <c r="BB108" s="11"/>
      <c r="BC108" s="11"/>
      <c r="BD108" s="11"/>
    </row>
    <row r="109" spans="2:56" ht="15.75"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3"/>
      <c r="AX109" s="14"/>
      <c r="AY109" s="11"/>
      <c r="AZ109" s="11"/>
      <c r="BA109" s="11"/>
      <c r="BB109" s="11"/>
      <c r="BC109" s="11"/>
      <c r="BD109" s="11"/>
    </row>
    <row r="110" spans="2:56" ht="15.75"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3"/>
      <c r="AX110" s="14"/>
      <c r="AY110" s="11"/>
      <c r="AZ110" s="11"/>
      <c r="BA110" s="11"/>
      <c r="BB110" s="11"/>
      <c r="BC110" s="11"/>
      <c r="BD110" s="11"/>
    </row>
    <row r="111" spans="2:56" ht="15.75"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3"/>
      <c r="AX111" s="14"/>
      <c r="AY111" s="11"/>
      <c r="AZ111" s="11"/>
      <c r="BA111" s="11"/>
      <c r="BB111" s="11"/>
      <c r="BC111" s="11"/>
      <c r="BD111" s="11"/>
    </row>
    <row r="112" spans="2:56" ht="15.75"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3"/>
      <c r="AX112" s="14"/>
      <c r="AY112" s="11"/>
      <c r="AZ112" s="11"/>
      <c r="BA112" s="11"/>
      <c r="BB112" s="11"/>
      <c r="BC112" s="11"/>
      <c r="BD112" s="11"/>
    </row>
    <row r="113" spans="2:56" ht="15.75"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3"/>
      <c r="AX113" s="14"/>
      <c r="AY113" s="11"/>
      <c r="AZ113" s="11"/>
      <c r="BA113" s="11"/>
      <c r="BB113" s="11"/>
      <c r="BC113" s="11"/>
      <c r="BD113" s="11"/>
    </row>
    <row r="114" spans="2:56" ht="15.75"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3"/>
      <c r="AX114" s="14"/>
      <c r="AY114" s="11"/>
      <c r="AZ114" s="11"/>
      <c r="BA114" s="11"/>
      <c r="BB114" s="11"/>
      <c r="BC114" s="11"/>
      <c r="BD114" s="11"/>
    </row>
    <row r="115" spans="2:56" ht="15.75"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3"/>
      <c r="AX115" s="14"/>
      <c r="AY115" s="11"/>
      <c r="AZ115" s="11"/>
      <c r="BA115" s="11"/>
      <c r="BB115" s="11"/>
      <c r="BC115" s="11"/>
      <c r="BD115" s="11"/>
    </row>
    <row r="116" spans="2:56" ht="15.75"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3"/>
      <c r="AX116" s="14"/>
      <c r="AY116" s="11"/>
      <c r="AZ116" s="11"/>
      <c r="BA116" s="11"/>
      <c r="BB116" s="11"/>
      <c r="BC116" s="11"/>
      <c r="BD116" s="11"/>
    </row>
    <row r="117" spans="2:56" ht="15.75"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3"/>
      <c r="AX117" s="14"/>
      <c r="AY117" s="11"/>
      <c r="AZ117" s="11"/>
      <c r="BA117" s="11"/>
      <c r="BB117" s="11"/>
      <c r="BC117" s="11"/>
      <c r="BD117" s="11"/>
    </row>
    <row r="118" spans="2:56" ht="15.75"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3"/>
      <c r="AX118" s="14"/>
      <c r="AY118" s="11"/>
      <c r="AZ118" s="11"/>
      <c r="BA118" s="11"/>
      <c r="BB118" s="11"/>
      <c r="BC118" s="11"/>
      <c r="BD118" s="11"/>
    </row>
    <row r="119" spans="2:56" ht="15.75"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3"/>
      <c r="AX119" s="14"/>
      <c r="AY119" s="11"/>
      <c r="AZ119" s="11"/>
      <c r="BA119" s="11"/>
      <c r="BB119" s="11"/>
      <c r="BC119" s="11"/>
      <c r="BD119" s="11"/>
    </row>
    <row r="120" spans="2:56" ht="15.75"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3"/>
      <c r="AX120" s="14"/>
      <c r="AY120" s="11"/>
      <c r="AZ120" s="11"/>
      <c r="BA120" s="11"/>
      <c r="BB120" s="11"/>
      <c r="BC120" s="11"/>
      <c r="BD120" s="11"/>
    </row>
    <row r="121" spans="2:56" ht="15.75"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3"/>
      <c r="AX121" s="14"/>
      <c r="AY121" s="11"/>
      <c r="AZ121" s="11"/>
      <c r="BA121" s="11"/>
      <c r="BB121" s="11"/>
      <c r="BC121" s="11"/>
      <c r="BD121" s="11"/>
    </row>
    <row r="122" spans="2:56" ht="15.75"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3"/>
      <c r="AX122" s="14"/>
      <c r="AY122" s="11"/>
      <c r="AZ122" s="11"/>
      <c r="BA122" s="11"/>
      <c r="BB122" s="11"/>
      <c r="BC122" s="11"/>
      <c r="BD122" s="11"/>
    </row>
    <row r="123" spans="2:56" ht="15.75"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3"/>
      <c r="AX123" s="14"/>
      <c r="AY123" s="11"/>
      <c r="AZ123" s="11"/>
      <c r="BA123" s="11"/>
      <c r="BB123" s="11"/>
      <c r="BC123" s="11"/>
      <c r="BD123" s="11"/>
    </row>
    <row r="124" spans="2:56" ht="15.75"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3"/>
      <c r="AX124" s="14"/>
      <c r="AY124" s="11"/>
      <c r="AZ124" s="11"/>
      <c r="BA124" s="11"/>
      <c r="BB124" s="11"/>
      <c r="BC124" s="11"/>
      <c r="BD124" s="11"/>
    </row>
    <row r="125" spans="2:56" ht="15.75"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3"/>
      <c r="AX125" s="14"/>
      <c r="AY125" s="11"/>
      <c r="AZ125" s="11"/>
      <c r="BA125" s="11"/>
      <c r="BB125" s="11"/>
      <c r="BC125" s="11"/>
      <c r="BD125" s="11"/>
    </row>
    <row r="126" spans="2:56" ht="15.75"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3"/>
      <c r="AX126" s="14"/>
      <c r="AY126" s="11"/>
      <c r="AZ126" s="11"/>
      <c r="BA126" s="11"/>
      <c r="BB126" s="11"/>
      <c r="BC126" s="11"/>
      <c r="BD126" s="11"/>
    </row>
    <row r="127" spans="2:56" ht="15.75"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3"/>
      <c r="AX127" s="14"/>
      <c r="AY127" s="11"/>
      <c r="AZ127" s="11"/>
      <c r="BA127" s="11"/>
      <c r="BB127" s="11"/>
      <c r="BC127" s="11"/>
      <c r="BD127" s="11"/>
    </row>
    <row r="128" spans="2:56" ht="15.75"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3"/>
      <c r="AX128" s="14"/>
      <c r="AY128" s="11"/>
      <c r="AZ128" s="11"/>
      <c r="BA128" s="11"/>
      <c r="BB128" s="11"/>
      <c r="BC128" s="11"/>
      <c r="BD128" s="11"/>
    </row>
    <row r="129" spans="2:56" ht="15.75"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3"/>
      <c r="AX129" s="14"/>
      <c r="AY129" s="11"/>
      <c r="AZ129" s="11"/>
      <c r="BA129" s="11"/>
      <c r="BB129" s="11"/>
      <c r="BC129" s="11"/>
      <c r="BD129" s="11"/>
    </row>
    <row r="130" spans="2:56" ht="15.75"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3"/>
      <c r="AX130" s="14"/>
      <c r="AY130" s="11"/>
      <c r="AZ130" s="11"/>
      <c r="BA130" s="11"/>
      <c r="BB130" s="11"/>
      <c r="BC130" s="11"/>
      <c r="BD130" s="11"/>
    </row>
    <row r="131" spans="2:56" ht="15.75"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3"/>
      <c r="AX131" s="14"/>
      <c r="AY131" s="11"/>
      <c r="AZ131" s="11"/>
      <c r="BA131" s="11"/>
      <c r="BB131" s="11"/>
      <c r="BC131" s="11"/>
      <c r="BD131" s="11"/>
    </row>
    <row r="132" spans="2:56" ht="15.75"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3"/>
      <c r="AX132" s="14"/>
      <c r="AY132" s="11"/>
      <c r="AZ132" s="11"/>
      <c r="BA132" s="11"/>
      <c r="BB132" s="11"/>
      <c r="BC132" s="11"/>
      <c r="BD132" s="11"/>
    </row>
    <row r="133" spans="2:56" ht="15.75"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3"/>
      <c r="AX133" s="14"/>
      <c r="AY133" s="11"/>
      <c r="AZ133" s="11"/>
      <c r="BA133" s="11"/>
      <c r="BB133" s="11"/>
      <c r="BC133" s="11"/>
      <c r="BD133" s="11"/>
    </row>
    <row r="134" spans="2:56" ht="15.75"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3"/>
      <c r="AX134" s="14"/>
      <c r="AY134" s="11"/>
      <c r="AZ134" s="11"/>
      <c r="BA134" s="11"/>
      <c r="BB134" s="11"/>
      <c r="BC134" s="11"/>
      <c r="BD134" s="11"/>
    </row>
    <row r="135" spans="2:56" ht="15.75"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3"/>
      <c r="AX135" s="14"/>
      <c r="AY135" s="11"/>
      <c r="AZ135" s="11"/>
      <c r="BA135" s="11"/>
      <c r="BB135" s="11"/>
      <c r="BC135" s="11"/>
      <c r="BD135" s="11"/>
    </row>
    <row r="136" spans="2:56" ht="15.75"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3"/>
      <c r="AX136" s="14"/>
      <c r="AY136" s="11"/>
      <c r="AZ136" s="11"/>
      <c r="BA136" s="11"/>
      <c r="BB136" s="11"/>
      <c r="BC136" s="11"/>
      <c r="BD136" s="11"/>
    </row>
    <row r="137" spans="2:56" ht="15.75"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3"/>
      <c r="AX137" s="14"/>
      <c r="AY137" s="11"/>
      <c r="AZ137" s="11"/>
      <c r="BA137" s="11"/>
      <c r="BB137" s="11"/>
      <c r="BC137" s="11"/>
      <c r="BD137" s="11"/>
    </row>
    <row r="138" spans="2:56" ht="15.75"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3"/>
      <c r="AX138" s="14"/>
      <c r="AY138" s="11"/>
      <c r="AZ138" s="11"/>
      <c r="BA138" s="11"/>
      <c r="BB138" s="11"/>
      <c r="BC138" s="11"/>
      <c r="BD138" s="11"/>
    </row>
    <row r="139" spans="2:56" ht="15.75"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3"/>
      <c r="AX139" s="14"/>
      <c r="AY139" s="11"/>
      <c r="AZ139" s="11"/>
      <c r="BA139" s="11"/>
      <c r="BB139" s="11"/>
      <c r="BC139" s="11"/>
      <c r="BD139" s="11"/>
    </row>
    <row r="140" spans="2:56" ht="15.75"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3"/>
      <c r="AX140" s="14"/>
      <c r="AY140" s="11"/>
      <c r="AZ140" s="11"/>
      <c r="BA140" s="11"/>
      <c r="BB140" s="11"/>
      <c r="BC140" s="11"/>
      <c r="BD140" s="11"/>
    </row>
    <row r="141" spans="2:56" ht="15.75"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3"/>
      <c r="AX141" s="14"/>
      <c r="AY141" s="11"/>
      <c r="AZ141" s="11"/>
      <c r="BA141" s="11"/>
      <c r="BB141" s="11"/>
      <c r="BC141" s="11"/>
      <c r="BD141" s="11"/>
    </row>
    <row r="142" spans="2:56" ht="15.75"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3"/>
      <c r="AX142" s="14"/>
      <c r="AY142" s="11"/>
      <c r="AZ142" s="11"/>
      <c r="BA142" s="11"/>
      <c r="BB142" s="11"/>
      <c r="BC142" s="11"/>
      <c r="BD142" s="11"/>
    </row>
    <row r="143" spans="2:56" ht="15.75"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3"/>
      <c r="AX143" s="14"/>
      <c r="AY143" s="11"/>
      <c r="AZ143" s="11"/>
      <c r="BA143" s="11"/>
      <c r="BB143" s="11"/>
      <c r="BC143" s="11"/>
      <c r="BD143" s="11"/>
    </row>
    <row r="144" spans="2:56" ht="15.75"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3"/>
      <c r="AX144" s="14"/>
      <c r="AY144" s="11"/>
      <c r="AZ144" s="11"/>
      <c r="BA144" s="11"/>
      <c r="BB144" s="11"/>
      <c r="BC144" s="11"/>
      <c r="BD144" s="11"/>
    </row>
    <row r="145" spans="2:56" ht="15.75"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3"/>
      <c r="AX145" s="14"/>
      <c r="AY145" s="11"/>
      <c r="AZ145" s="11"/>
      <c r="BA145" s="11"/>
      <c r="BB145" s="11"/>
      <c r="BC145" s="11"/>
      <c r="BD145" s="11"/>
    </row>
    <row r="146" spans="2:56" ht="15.75"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3"/>
      <c r="AX146" s="14"/>
      <c r="AY146" s="11"/>
      <c r="AZ146" s="11"/>
      <c r="BA146" s="11"/>
      <c r="BB146" s="11"/>
      <c r="BC146" s="11"/>
      <c r="BD146" s="11"/>
    </row>
    <row r="147" spans="2:56" ht="15.75"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3"/>
      <c r="AX147" s="14"/>
      <c r="AY147" s="11"/>
      <c r="AZ147" s="11"/>
      <c r="BA147" s="11"/>
      <c r="BB147" s="11"/>
      <c r="BC147" s="11"/>
      <c r="BD147" s="11"/>
    </row>
    <row r="148" spans="2:56" ht="15.75"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3"/>
      <c r="AX148" s="14"/>
      <c r="AY148" s="11"/>
      <c r="AZ148" s="11"/>
      <c r="BA148" s="11"/>
      <c r="BB148" s="11"/>
      <c r="BC148" s="11"/>
      <c r="BD148" s="11"/>
    </row>
    <row r="149" spans="2:56" ht="15.75"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3"/>
      <c r="AX149" s="14"/>
      <c r="AY149" s="11"/>
      <c r="AZ149" s="11"/>
      <c r="BA149" s="11"/>
      <c r="BB149" s="11"/>
      <c r="BC149" s="11"/>
      <c r="BD149" s="11"/>
    </row>
    <row r="150" spans="2:56" ht="15.75"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3"/>
      <c r="AX150" s="14"/>
      <c r="AY150" s="11"/>
      <c r="AZ150" s="11"/>
      <c r="BA150" s="11"/>
      <c r="BB150" s="11"/>
      <c r="BC150" s="11"/>
      <c r="BD150" s="11"/>
    </row>
  </sheetData>
  <sheetProtection/>
  <mergeCells count="3">
    <mergeCell ref="AW1:AW2"/>
    <mergeCell ref="B1:B2"/>
    <mergeCell ref="A1:A2"/>
  </mergeCells>
  <printOptions/>
  <pageMargins left="0" right="0" top="0" bottom="0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2017-11-16T12:58:54Z</cp:lastPrinted>
  <dcterms:created xsi:type="dcterms:W3CDTF">2006-09-28T05:33:49Z</dcterms:created>
  <dcterms:modified xsi:type="dcterms:W3CDTF">2018-04-10T13:22:16Z</dcterms:modified>
  <cp:category/>
  <cp:version/>
  <cp:contentType/>
  <cp:contentStatus/>
</cp:coreProperties>
</file>